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0730" windowHeight="11535" activeTab="4"/>
  </bookViews>
  <sheets>
    <sheet name="RH - Mensal x ANO" sheetId="5" r:id="rId1"/>
    <sheet name="ST - Mensal x ANO" sheetId="6" r:id="rId2"/>
    <sheet name="DESP. OPERACIONAIS" sheetId="1" r:id="rId3"/>
    <sheet name="INFRAESTRUTURA" sheetId="7" r:id="rId4"/>
    <sheet name="CONSOLIDAÇÃO" sheetId="8" r:id="rId5"/>
    <sheet name="Fluxo de Caixa" sheetId="9" r:id="rId6"/>
  </sheets>
  <calcPr calcId="144525"/>
</workbook>
</file>

<file path=xl/calcChain.xml><?xml version="1.0" encoding="utf-8"?>
<calcChain xmlns="http://schemas.openxmlformats.org/spreadsheetml/2006/main">
  <c r="B8" i="8" l="1"/>
  <c r="B7" i="8"/>
  <c r="B6" i="8"/>
  <c r="B5" i="8"/>
  <c r="B4" i="8"/>
  <c r="B3" i="8"/>
  <c r="H41" i="9"/>
  <c r="H40" i="9"/>
  <c r="H39" i="9"/>
  <c r="G41" i="9"/>
  <c r="G40" i="9"/>
  <c r="G39" i="9"/>
  <c r="F41" i="9"/>
  <c r="F40" i="9"/>
  <c r="F39" i="9"/>
  <c r="E41" i="9"/>
  <c r="E40" i="9"/>
  <c r="E39" i="9"/>
  <c r="D41" i="9"/>
  <c r="D40" i="9"/>
  <c r="D39" i="9"/>
  <c r="C41" i="9"/>
  <c r="C39" i="9"/>
  <c r="D3" i="9" l="1"/>
  <c r="A40" i="9"/>
  <c r="A41" i="9"/>
  <c r="C13" i="9"/>
  <c r="B12" i="9"/>
  <c r="O10" i="9"/>
  <c r="B7" i="9"/>
  <c r="B9" i="9" s="1"/>
  <c r="C5" i="9"/>
  <c r="O4" i="9"/>
  <c r="E3" i="9" l="1"/>
  <c r="B10" i="9"/>
  <c r="B11" i="9" s="1"/>
  <c r="E5" i="9"/>
  <c r="F3" i="9"/>
  <c r="D5" i="9"/>
  <c r="D13" i="9"/>
  <c r="E13" i="9"/>
  <c r="G3" i="9" l="1"/>
  <c r="F13" i="9"/>
  <c r="F5" i="9"/>
  <c r="H3" i="9" l="1"/>
  <c r="G13" i="9"/>
  <c r="G5" i="9"/>
  <c r="I3" i="9" l="1"/>
  <c r="J3" i="9" s="1"/>
  <c r="H13" i="9"/>
  <c r="I13" i="9"/>
  <c r="H5" i="9"/>
  <c r="K3" i="9" l="1"/>
  <c r="L3" i="9" s="1"/>
  <c r="I39" i="9"/>
  <c r="I5" i="9"/>
  <c r="I41" i="9" s="1"/>
  <c r="J39" i="9"/>
  <c r="J13" i="9" l="1"/>
  <c r="J5" i="9"/>
  <c r="J41" i="9" s="1"/>
  <c r="K39" i="9"/>
  <c r="L39" i="9" l="1"/>
  <c r="K5" i="9"/>
  <c r="K41" i="9" s="1"/>
  <c r="L13" i="9"/>
  <c r="K13" i="9"/>
  <c r="L5" i="9" l="1"/>
  <c r="L41" i="9" s="1"/>
  <c r="F38" i="5" l="1"/>
  <c r="F35" i="5"/>
  <c r="D34" i="5"/>
  <c r="D36" i="5"/>
  <c r="D37" i="5"/>
  <c r="E37" i="6"/>
  <c r="F37" i="6"/>
  <c r="C7" i="8"/>
  <c r="D7" i="8"/>
  <c r="E7" i="8"/>
  <c r="F7" i="8"/>
  <c r="C6" i="8"/>
  <c r="D6" i="8"/>
  <c r="E6" i="8"/>
  <c r="F6" i="8"/>
  <c r="F15" i="7"/>
  <c r="F14" i="7"/>
  <c r="F13" i="7"/>
  <c r="F16" i="7"/>
  <c r="F30" i="7"/>
  <c r="F29" i="7"/>
  <c r="F28" i="7"/>
  <c r="F27" i="7"/>
  <c r="F42" i="7"/>
  <c r="F41" i="7"/>
  <c r="F33" i="7"/>
  <c r="D28" i="7"/>
  <c r="D19" i="7"/>
  <c r="D16" i="7"/>
  <c r="D15" i="7"/>
  <c r="D14" i="7"/>
  <c r="D13" i="7"/>
  <c r="B16" i="7"/>
  <c r="B15" i="7"/>
  <c r="B14" i="7"/>
  <c r="B13" i="7"/>
  <c r="E5" i="7"/>
  <c r="D5" i="7"/>
  <c r="C5" i="7"/>
  <c r="B5" i="7"/>
  <c r="E4" i="7"/>
  <c r="D4" i="7"/>
  <c r="C4" i="7"/>
  <c r="B4" i="7"/>
  <c r="D27" i="7"/>
  <c r="B10" i="7"/>
  <c r="C6" i="7"/>
  <c r="D6" i="7" s="1"/>
  <c r="E6" i="7" s="1"/>
  <c r="F6" i="7" s="1"/>
  <c r="B6" i="7"/>
  <c r="B38" i="6"/>
  <c r="C37" i="6"/>
  <c r="D37" i="6"/>
  <c r="B37" i="6"/>
  <c r="F25" i="7"/>
  <c r="F24" i="7"/>
  <c r="E21" i="7"/>
  <c r="F21" i="7" s="1"/>
  <c r="B45" i="7" l="1"/>
  <c r="F26" i="7"/>
  <c r="F22" i="7"/>
  <c r="C45" i="7"/>
  <c r="F23" i="7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F49" i="1"/>
  <c r="F50" i="1"/>
  <c r="F51" i="1"/>
  <c r="F52" i="1"/>
  <c r="F53" i="1"/>
  <c r="F54" i="1"/>
  <c r="F55" i="1"/>
  <c r="B56" i="1"/>
  <c r="C56" i="1"/>
  <c r="D56" i="1"/>
  <c r="E56" i="1"/>
  <c r="F56" i="1"/>
  <c r="C33" i="1"/>
  <c r="D33" i="1"/>
  <c r="E33" i="1"/>
  <c r="F33" i="1"/>
  <c r="B33" i="1"/>
  <c r="F21" i="1"/>
  <c r="F22" i="1"/>
  <c r="F23" i="1"/>
  <c r="F24" i="1"/>
  <c r="F25" i="1"/>
  <c r="F26" i="1"/>
  <c r="F20" i="1"/>
  <c r="E13" i="1"/>
  <c r="F13" i="1"/>
  <c r="E14" i="1"/>
  <c r="F14" i="1" s="1"/>
  <c r="E15" i="1"/>
  <c r="F15" i="1" s="1"/>
  <c r="E16" i="1"/>
  <c r="F16" i="1" s="1"/>
  <c r="E17" i="1"/>
  <c r="F17" i="1" s="1"/>
  <c r="E18" i="1"/>
  <c r="F18" i="1" s="1"/>
  <c r="E12" i="1"/>
  <c r="F12" i="1" s="1"/>
  <c r="C10" i="1"/>
  <c r="D10" i="1" s="1"/>
  <c r="E10" i="1" s="1"/>
  <c r="F10" i="1" s="1"/>
  <c r="C6" i="1"/>
  <c r="D6" i="1" s="1"/>
  <c r="E6" i="1" s="1"/>
  <c r="F6" i="1" s="1"/>
  <c r="C7" i="1"/>
  <c r="D7" i="1" s="1"/>
  <c r="E7" i="1" s="1"/>
  <c r="F7" i="1" s="1"/>
  <c r="C8" i="1"/>
  <c r="D8" i="1" s="1"/>
  <c r="E8" i="1" s="1"/>
  <c r="F8" i="1" s="1"/>
  <c r="C9" i="1"/>
  <c r="D9" i="1" s="1"/>
  <c r="E9" i="1" s="1"/>
  <c r="F9" i="1" s="1"/>
  <c r="C5" i="1"/>
  <c r="D5" i="1" s="1"/>
  <c r="E5" i="1" s="1"/>
  <c r="F5" i="1" s="1"/>
  <c r="C4" i="1"/>
  <c r="D4" i="1" s="1"/>
  <c r="E4" i="1" s="1"/>
  <c r="F4" i="1" s="1"/>
  <c r="B27" i="1"/>
  <c r="D35" i="6"/>
  <c r="E8" i="6"/>
  <c r="E35" i="6" s="1"/>
  <c r="F8" i="6"/>
  <c r="F35" i="6" s="1"/>
  <c r="F102" i="5"/>
  <c r="E101" i="5"/>
  <c r="F101" i="5"/>
  <c r="E56" i="5"/>
  <c r="F56" i="5"/>
  <c r="F57" i="5"/>
  <c r="F12" i="5"/>
  <c r="F11" i="5"/>
  <c r="E11" i="5"/>
  <c r="B100" i="5"/>
  <c r="C100" i="5"/>
  <c r="D100" i="5"/>
  <c r="E100" i="5"/>
  <c r="F100" i="5"/>
  <c r="B55" i="5"/>
  <c r="C55" i="5"/>
  <c r="D55" i="5"/>
  <c r="E55" i="5"/>
  <c r="F55" i="5"/>
  <c r="C10" i="5"/>
  <c r="D10" i="5" s="1"/>
  <c r="E10" i="5" s="1"/>
  <c r="F10" i="5" s="1"/>
  <c r="C49" i="5"/>
  <c r="D49" i="5"/>
  <c r="D94" i="5" s="1"/>
  <c r="E49" i="5"/>
  <c r="F49" i="5"/>
  <c r="B49" i="5"/>
  <c r="D46" i="6"/>
  <c r="B33" i="6"/>
  <c r="B34" i="6"/>
  <c r="B40" i="6"/>
  <c r="B46" i="6"/>
  <c r="B47" i="6"/>
  <c r="B48" i="6"/>
  <c r="B51" i="6"/>
  <c r="B31" i="6"/>
  <c r="C4" i="6"/>
  <c r="D4" i="6" s="1"/>
  <c r="D31" i="6" s="1"/>
  <c r="D13" i="6"/>
  <c r="E13" i="6" s="1"/>
  <c r="C13" i="6"/>
  <c r="C40" i="6" s="1"/>
  <c r="C21" i="6"/>
  <c r="D21" i="6" s="1"/>
  <c r="E21" i="6" s="1"/>
  <c r="F21" i="6" s="1"/>
  <c r="F48" i="6" s="1"/>
  <c r="E19" i="6"/>
  <c r="F19" i="6" s="1"/>
  <c r="F46" i="6" s="1"/>
  <c r="C19" i="6"/>
  <c r="C46" i="6" s="1"/>
  <c r="C24" i="6"/>
  <c r="C51" i="6" s="1"/>
  <c r="C11" i="6"/>
  <c r="C99" i="5"/>
  <c r="F104" i="5"/>
  <c r="F105" i="5"/>
  <c r="D107" i="5"/>
  <c r="F109" i="5"/>
  <c r="E112" i="5"/>
  <c r="E113" i="5"/>
  <c r="F114" i="5"/>
  <c r="F116" i="5"/>
  <c r="F131" i="5"/>
  <c r="F133" i="5"/>
  <c r="B7" i="6"/>
  <c r="B25" i="6" s="1"/>
  <c r="C6" i="6"/>
  <c r="D6" i="6" s="1"/>
  <c r="E6" i="6" s="1"/>
  <c r="F6" i="6" s="1"/>
  <c r="F33" i="6" s="1"/>
  <c r="C20" i="6"/>
  <c r="D20" i="6" s="1"/>
  <c r="E20" i="6" s="1"/>
  <c r="F20" i="6" s="1"/>
  <c r="F47" i="6" s="1"/>
  <c r="F51" i="5"/>
  <c r="F96" i="5" s="1"/>
  <c r="C52" i="5"/>
  <c r="C97" i="5" s="1"/>
  <c r="D52" i="5"/>
  <c r="D97" i="5" s="1"/>
  <c r="E52" i="5"/>
  <c r="E97" i="5" s="1"/>
  <c r="F52" i="5"/>
  <c r="F97" i="5" s="1"/>
  <c r="D53" i="5"/>
  <c r="D98" i="5" s="1"/>
  <c r="E53" i="5"/>
  <c r="E98" i="5" s="1"/>
  <c r="F53" i="5"/>
  <c r="F98" i="5" s="1"/>
  <c r="C54" i="5"/>
  <c r="D54" i="5"/>
  <c r="D99" i="5" s="1"/>
  <c r="E54" i="5"/>
  <c r="E99" i="5" s="1"/>
  <c r="F54" i="5"/>
  <c r="F99" i="5" s="1"/>
  <c r="F59" i="5"/>
  <c r="C60" i="5"/>
  <c r="C105" i="5" s="1"/>
  <c r="D60" i="5"/>
  <c r="D105" i="5" s="1"/>
  <c r="E60" i="5"/>
  <c r="E105" i="5" s="1"/>
  <c r="F60" i="5"/>
  <c r="D61" i="5"/>
  <c r="D106" i="5" s="1"/>
  <c r="E61" i="5"/>
  <c r="E106" i="5" s="1"/>
  <c r="F61" i="5"/>
  <c r="F106" i="5" s="1"/>
  <c r="D62" i="5"/>
  <c r="E62" i="5"/>
  <c r="E107" i="5" s="1"/>
  <c r="F62" i="5"/>
  <c r="F107" i="5" s="1"/>
  <c r="F63" i="5"/>
  <c r="F108" i="5" s="1"/>
  <c r="F64" i="5"/>
  <c r="F66" i="5"/>
  <c r="F111" i="5" s="1"/>
  <c r="C67" i="5"/>
  <c r="C112" i="5" s="1"/>
  <c r="D67" i="5"/>
  <c r="D112" i="5" s="1"/>
  <c r="E67" i="5"/>
  <c r="F67" i="5"/>
  <c r="F112" i="5" s="1"/>
  <c r="C68" i="5"/>
  <c r="C113" i="5" s="1"/>
  <c r="D68" i="5"/>
  <c r="D113" i="5" s="1"/>
  <c r="E68" i="5"/>
  <c r="F68" i="5"/>
  <c r="F113" i="5" s="1"/>
  <c r="D69" i="5"/>
  <c r="D114" i="5" s="1"/>
  <c r="E69" i="5"/>
  <c r="E114" i="5" s="1"/>
  <c r="F69" i="5"/>
  <c r="D70" i="5"/>
  <c r="D115" i="5" s="1"/>
  <c r="E70" i="5"/>
  <c r="E115" i="5" s="1"/>
  <c r="F70" i="5"/>
  <c r="F115" i="5" s="1"/>
  <c r="F71" i="5"/>
  <c r="F73" i="5"/>
  <c r="F118" i="5" s="1"/>
  <c r="C74" i="5"/>
  <c r="C119" i="5" s="1"/>
  <c r="D75" i="5"/>
  <c r="D120" i="5" s="1"/>
  <c r="C77" i="5"/>
  <c r="C122" i="5" s="1"/>
  <c r="F77" i="5"/>
  <c r="F122" i="5" s="1"/>
  <c r="C81" i="5"/>
  <c r="C126" i="5" s="1"/>
  <c r="D81" i="5"/>
  <c r="D126" i="5" s="1"/>
  <c r="F81" i="5"/>
  <c r="F126" i="5" s="1"/>
  <c r="F85" i="5"/>
  <c r="F130" i="5" s="1"/>
  <c r="D86" i="5"/>
  <c r="D131" i="5" s="1"/>
  <c r="E86" i="5"/>
  <c r="E131" i="5" s="1"/>
  <c r="F86" i="5"/>
  <c r="F87" i="5"/>
  <c r="F132" i="5" s="1"/>
  <c r="D88" i="5"/>
  <c r="D133" i="5" s="1"/>
  <c r="E88" i="5"/>
  <c r="E133" i="5" s="1"/>
  <c r="F88" i="5"/>
  <c r="B54" i="5"/>
  <c r="B99" i="5" s="1"/>
  <c r="B60" i="5"/>
  <c r="B105" i="5" s="1"/>
  <c r="B67" i="5"/>
  <c r="B112" i="5" s="1"/>
  <c r="B68" i="5"/>
  <c r="B113" i="5" s="1"/>
  <c r="B74" i="5"/>
  <c r="B119" i="5" s="1"/>
  <c r="B75" i="5"/>
  <c r="B120" i="5" s="1"/>
  <c r="B76" i="5"/>
  <c r="B121" i="5" s="1"/>
  <c r="B77" i="5"/>
  <c r="B122" i="5" s="1"/>
  <c r="B78" i="5"/>
  <c r="B123" i="5" s="1"/>
  <c r="B52" i="5"/>
  <c r="B97" i="5" s="1"/>
  <c r="B44" i="5"/>
  <c r="F19" i="5"/>
  <c r="F18" i="5"/>
  <c r="F8" i="5"/>
  <c r="E43" i="5"/>
  <c r="F43" i="5" s="1"/>
  <c r="E41" i="5"/>
  <c r="F41" i="5" s="1"/>
  <c r="D24" i="5"/>
  <c r="E24" i="5" s="1"/>
  <c r="F24" i="5" s="1"/>
  <c r="D25" i="5"/>
  <c r="E25" i="5" s="1"/>
  <c r="F25" i="5" s="1"/>
  <c r="E17" i="5"/>
  <c r="F17" i="5" s="1"/>
  <c r="E16" i="5"/>
  <c r="F16" i="5" s="1"/>
  <c r="D82" i="5"/>
  <c r="D127" i="5" s="1"/>
  <c r="D79" i="5"/>
  <c r="D124" i="5" s="1"/>
  <c r="E36" i="5"/>
  <c r="F36" i="5" s="1"/>
  <c r="C29" i="5"/>
  <c r="D29" i="5" s="1"/>
  <c r="E29" i="5" s="1"/>
  <c r="F29" i="5" s="1"/>
  <c r="F74" i="5" s="1"/>
  <c r="F119" i="5" s="1"/>
  <c r="C4" i="5"/>
  <c r="D4" i="5" s="1"/>
  <c r="E4" i="5" s="1"/>
  <c r="F80" i="5"/>
  <c r="F125" i="5" s="1"/>
  <c r="C33" i="5"/>
  <c r="D33" i="5" s="1"/>
  <c r="E33" i="5" s="1"/>
  <c r="F33" i="5" s="1"/>
  <c r="F78" i="5" s="1"/>
  <c r="F123" i="5" s="1"/>
  <c r="C32" i="5"/>
  <c r="D32" i="5" s="1"/>
  <c r="E32" i="5" s="1"/>
  <c r="F32" i="5" s="1"/>
  <c r="C31" i="5"/>
  <c r="D31" i="5" s="1"/>
  <c r="E31" i="5" s="1"/>
  <c r="F31" i="5" s="1"/>
  <c r="F76" i="5" s="1"/>
  <c r="F121" i="5" s="1"/>
  <c r="C30" i="5"/>
  <c r="D30" i="5" s="1"/>
  <c r="E30" i="5" s="1"/>
  <c r="F30" i="5" s="1"/>
  <c r="F75" i="5" s="1"/>
  <c r="F120" i="5" s="1"/>
  <c r="C23" i="5"/>
  <c r="D23" i="5" s="1"/>
  <c r="E23" i="5" s="1"/>
  <c r="F23" i="5" s="1"/>
  <c r="C22" i="5"/>
  <c r="D22" i="5" s="1"/>
  <c r="E22" i="5" s="1"/>
  <c r="F22" i="5" s="1"/>
  <c r="C15" i="5"/>
  <c r="D15" i="5" s="1"/>
  <c r="E15" i="5" s="1"/>
  <c r="F15" i="5" s="1"/>
  <c r="C9" i="5"/>
  <c r="C7" i="5"/>
  <c r="D7" i="5" s="1"/>
  <c r="E7" i="5" s="1"/>
  <c r="F7" i="5" s="1"/>
  <c r="D11" i="6" l="1"/>
  <c r="D38" i="6" s="1"/>
  <c r="D5" i="8" s="1"/>
  <c r="C38" i="6"/>
  <c r="C5" i="8" s="1"/>
  <c r="C78" i="5"/>
  <c r="C123" i="5" s="1"/>
  <c r="E34" i="5"/>
  <c r="E78" i="5"/>
  <c r="E123" i="5" s="1"/>
  <c r="D78" i="5"/>
  <c r="D123" i="5" s="1"/>
  <c r="D76" i="5"/>
  <c r="D121" i="5" s="1"/>
  <c r="C76" i="5"/>
  <c r="C121" i="5" s="1"/>
  <c r="E76" i="5"/>
  <c r="E121" i="5" s="1"/>
  <c r="E77" i="5"/>
  <c r="E122" i="5" s="1"/>
  <c r="D77" i="5"/>
  <c r="D122" i="5" s="1"/>
  <c r="C75" i="5"/>
  <c r="C120" i="5" s="1"/>
  <c r="C134" i="5" s="1"/>
  <c r="C3" i="8" s="1"/>
  <c r="E75" i="5"/>
  <c r="E120" i="5" s="1"/>
  <c r="E74" i="5"/>
  <c r="E119" i="5" s="1"/>
  <c r="D74" i="5"/>
  <c r="D119" i="5" s="1"/>
  <c r="E37" i="5"/>
  <c r="F37" i="5" s="1"/>
  <c r="F82" i="5" s="1"/>
  <c r="F127" i="5" s="1"/>
  <c r="F83" i="5"/>
  <c r="F128" i="5" s="1"/>
  <c r="E81" i="5"/>
  <c r="E126" i="5" s="1"/>
  <c r="D45" i="7"/>
  <c r="C47" i="6"/>
  <c r="E40" i="6"/>
  <c r="E14" i="6"/>
  <c r="F13" i="6"/>
  <c r="D40" i="6"/>
  <c r="D33" i="6"/>
  <c r="D14" i="6"/>
  <c r="C33" i="6"/>
  <c r="C31" i="6"/>
  <c r="C48" i="6"/>
  <c r="E33" i="6"/>
  <c r="E48" i="6"/>
  <c r="D48" i="6"/>
  <c r="E46" i="6"/>
  <c r="B94" i="5"/>
  <c r="B134" i="5" s="1"/>
  <c r="C94" i="5"/>
  <c r="E47" i="6"/>
  <c r="D47" i="6"/>
  <c r="B52" i="6"/>
  <c r="B89" i="5"/>
  <c r="C7" i="6"/>
  <c r="E4" i="6"/>
  <c r="E31" i="6" s="1"/>
  <c r="E94" i="5"/>
  <c r="C44" i="5"/>
  <c r="D9" i="5"/>
  <c r="F26" i="5"/>
  <c r="C4" i="9" l="1"/>
  <c r="E11" i="6"/>
  <c r="B10" i="8"/>
  <c r="B14" i="9" s="1"/>
  <c r="F34" i="5"/>
  <c r="F79" i="5" s="1"/>
  <c r="F124" i="5" s="1"/>
  <c r="E79" i="5"/>
  <c r="E124" i="5" s="1"/>
  <c r="E82" i="5"/>
  <c r="E127" i="5" s="1"/>
  <c r="E45" i="7"/>
  <c r="C27" i="1"/>
  <c r="F40" i="6"/>
  <c r="F14" i="6"/>
  <c r="D41" i="6"/>
  <c r="D15" i="6"/>
  <c r="D42" i="6" s="1"/>
  <c r="E15" i="6"/>
  <c r="E42" i="6" s="1"/>
  <c r="E41" i="6"/>
  <c r="D7" i="6"/>
  <c r="C34" i="6"/>
  <c r="C52" i="6" s="1"/>
  <c r="C4" i="8" s="1"/>
  <c r="D134" i="5"/>
  <c r="D3" i="8" s="1"/>
  <c r="C25" i="6"/>
  <c r="F4" i="6"/>
  <c r="C89" i="5"/>
  <c r="D89" i="5"/>
  <c r="D44" i="5"/>
  <c r="E9" i="5"/>
  <c r="C40" i="9" l="1"/>
  <c r="C42" i="9" s="1"/>
  <c r="F11" i="6"/>
  <c r="F38" i="6" s="1"/>
  <c r="F5" i="8" s="1"/>
  <c r="E38" i="6"/>
  <c r="E5" i="8" s="1"/>
  <c r="C8" i="8"/>
  <c r="C10" i="8" s="1"/>
  <c r="C14" i="9" s="1"/>
  <c r="D4" i="9"/>
  <c r="D42" i="9" s="1"/>
  <c r="D6" i="9"/>
  <c r="C6" i="9"/>
  <c r="B15" i="9"/>
  <c r="E89" i="5"/>
  <c r="F45" i="7"/>
  <c r="E7" i="6"/>
  <c r="D34" i="6"/>
  <c r="D52" i="6" s="1"/>
  <c r="D4" i="8" s="1"/>
  <c r="D25" i="6"/>
  <c r="F31" i="6"/>
  <c r="F41" i="6"/>
  <c r="F15" i="6"/>
  <c r="F89" i="5"/>
  <c r="F94" i="5"/>
  <c r="F134" i="5" s="1"/>
  <c r="F3" i="8" s="1"/>
  <c r="E134" i="5"/>
  <c r="E3" i="8" s="1"/>
  <c r="E44" i="5"/>
  <c r="F9" i="5"/>
  <c r="F44" i="5" s="1"/>
  <c r="E4" i="9" l="1"/>
  <c r="E42" i="9" s="1"/>
  <c r="D8" i="8"/>
  <c r="D10" i="8" s="1"/>
  <c r="D14" i="9" s="1"/>
  <c r="I23" i="9"/>
  <c r="J23" i="9" s="1"/>
  <c r="K23" i="9" s="1"/>
  <c r="H24" i="9" s="1"/>
  <c r="C23" i="9"/>
  <c r="D23" i="9" s="1"/>
  <c r="B24" i="9" s="1"/>
  <c r="C12" i="9"/>
  <c r="C7" i="9"/>
  <c r="C9" i="9" s="1"/>
  <c r="C10" i="9" s="1"/>
  <c r="C11" i="9" s="1"/>
  <c r="D12" i="9"/>
  <c r="D7" i="9"/>
  <c r="D9" i="9" s="1"/>
  <c r="D10" i="9" s="1"/>
  <c r="D11" i="9" s="1"/>
  <c r="E27" i="1"/>
  <c r="D27" i="1"/>
  <c r="F16" i="6"/>
  <c r="F43" i="6" s="1"/>
  <c r="F42" i="6"/>
  <c r="F7" i="6"/>
  <c r="E34" i="6"/>
  <c r="E52" i="6" s="1"/>
  <c r="E4" i="8" s="1"/>
  <c r="E25" i="6"/>
  <c r="E8" i="8" l="1"/>
  <c r="E10" i="8" s="1"/>
  <c r="E14" i="9" s="1"/>
  <c r="F4" i="9"/>
  <c r="F42" i="9" s="1"/>
  <c r="C15" i="9"/>
  <c r="C24" i="9" s="1"/>
  <c r="D24" i="9" s="1"/>
  <c r="B25" i="9" s="1"/>
  <c r="F6" i="9"/>
  <c r="E6" i="9"/>
  <c r="D15" i="9"/>
  <c r="F34" i="6"/>
  <c r="F52" i="6" s="1"/>
  <c r="F4" i="8" s="1"/>
  <c r="F25" i="6"/>
  <c r="I24" i="9" l="1"/>
  <c r="J24" i="9" s="1"/>
  <c r="K24" i="9" s="1"/>
  <c r="H25" i="9" s="1"/>
  <c r="G4" i="9"/>
  <c r="H4" i="9" s="1"/>
  <c r="F8" i="8"/>
  <c r="F10" i="8" s="1"/>
  <c r="F14" i="9" s="1"/>
  <c r="E12" i="9"/>
  <c r="E7" i="9"/>
  <c r="E9" i="9" s="1"/>
  <c r="E10" i="9" s="1"/>
  <c r="E11" i="9" s="1"/>
  <c r="I25" i="9"/>
  <c r="J25" i="9" s="1"/>
  <c r="C25" i="9"/>
  <c r="D25" i="9" s="1"/>
  <c r="B26" i="9" s="1"/>
  <c r="F12" i="9"/>
  <c r="F7" i="9"/>
  <c r="F9" i="9" s="1"/>
  <c r="F10" i="9" s="1"/>
  <c r="F11" i="9" s="1"/>
  <c r="F27" i="1"/>
  <c r="E15" i="9" l="1"/>
  <c r="C26" i="9" s="1"/>
  <c r="D26" i="9" s="1"/>
  <c r="B27" i="9" s="1"/>
  <c r="K25" i="9"/>
  <c r="H26" i="9" s="1"/>
  <c r="G42" i="9"/>
  <c r="J6" i="9"/>
  <c r="K6" i="9"/>
  <c r="I6" i="9"/>
  <c r="G6" i="9"/>
  <c r="L6" i="9"/>
  <c r="H6" i="9"/>
  <c r="F15" i="9"/>
  <c r="I26" i="9" l="1"/>
  <c r="J26" i="9" s="1"/>
  <c r="K26" i="9" s="1"/>
  <c r="H27" i="9" s="1"/>
  <c r="H42" i="9"/>
  <c r="I4" i="9"/>
  <c r="I7" i="9" s="1"/>
  <c r="I9" i="9" s="1"/>
  <c r="I10" i="9" s="1"/>
  <c r="I11" i="9" s="1"/>
  <c r="I27" i="9"/>
  <c r="J27" i="9" s="1"/>
  <c r="C27" i="9"/>
  <c r="D27" i="9" s="1"/>
  <c r="B28" i="9" s="1"/>
  <c r="I12" i="9"/>
  <c r="H12" i="9"/>
  <c r="H7" i="9"/>
  <c r="H9" i="9" s="1"/>
  <c r="H10" i="9" s="1"/>
  <c r="H11" i="9" s="1"/>
  <c r="K12" i="9"/>
  <c r="L12" i="9"/>
  <c r="J12" i="9"/>
  <c r="G12" i="9"/>
  <c r="G7" i="9"/>
  <c r="G9" i="9" s="1"/>
  <c r="G10" i="9" s="1"/>
  <c r="G11" i="9" s="1"/>
  <c r="I15" i="9" l="1"/>
  <c r="I30" i="9" s="1"/>
  <c r="J30" i="9" s="1"/>
  <c r="K27" i="9"/>
  <c r="H28" i="9" s="1"/>
  <c r="I40" i="9"/>
  <c r="I42" i="9" s="1"/>
  <c r="J4" i="9"/>
  <c r="G15" i="9"/>
  <c r="H15" i="9"/>
  <c r="C30" i="9" l="1"/>
  <c r="J40" i="9"/>
  <c r="J42" i="9" s="1"/>
  <c r="K4" i="9"/>
  <c r="J7" i="9"/>
  <c r="J9" i="9" s="1"/>
  <c r="J10" i="9" s="1"/>
  <c r="J11" i="9" s="1"/>
  <c r="J15" i="9" s="1"/>
  <c r="I29" i="9"/>
  <c r="J29" i="9" s="1"/>
  <c r="C29" i="9"/>
  <c r="I28" i="9"/>
  <c r="J28" i="9" s="1"/>
  <c r="K28" i="9" s="1"/>
  <c r="H29" i="9" s="1"/>
  <c r="C28" i="9"/>
  <c r="D28" i="9" s="1"/>
  <c r="B29" i="9" s="1"/>
  <c r="C31" i="9" l="1"/>
  <c r="I31" i="9"/>
  <c r="J31" i="9" s="1"/>
  <c r="L4" i="9"/>
  <c r="K40" i="9"/>
  <c r="K42" i="9" s="1"/>
  <c r="K7" i="9"/>
  <c r="K9" i="9" s="1"/>
  <c r="K10" i="9" s="1"/>
  <c r="K11" i="9" s="1"/>
  <c r="K15" i="9" s="1"/>
  <c r="K29" i="9"/>
  <c r="H30" i="9" s="1"/>
  <c r="K30" i="9" s="1"/>
  <c r="H31" i="9" s="1"/>
  <c r="E21" i="9"/>
  <c r="D29" i="9"/>
  <c r="B30" i="9" s="1"/>
  <c r="D30" i="9" s="1"/>
  <c r="B31" i="9" s="1"/>
  <c r="L21" i="9"/>
  <c r="K31" i="9" l="1"/>
  <c r="H32" i="9" s="1"/>
  <c r="D31" i="9"/>
  <c r="B32" i="9" s="1"/>
  <c r="L40" i="9"/>
  <c r="L42" i="9" s="1"/>
  <c r="L7" i="9"/>
  <c r="L9" i="9" s="1"/>
  <c r="L10" i="9" s="1"/>
  <c r="L11" i="9" s="1"/>
  <c r="L15" i="9" s="1"/>
  <c r="B19" i="9" s="1"/>
  <c r="B20" i="9" s="1"/>
  <c r="I32" i="9"/>
  <c r="J32" i="9" s="1"/>
  <c r="K32" i="9" s="1"/>
  <c r="H33" i="9" s="1"/>
  <c r="C32" i="9"/>
  <c r="D32" i="9" s="1"/>
  <c r="B33" i="9" s="1"/>
  <c r="B18" i="9" l="1"/>
  <c r="I33" i="9"/>
  <c r="J33" i="9" s="1"/>
  <c r="K33" i="9" s="1"/>
  <c r="C33" i="9"/>
  <c r="D33" i="9" s="1"/>
</calcChain>
</file>

<file path=xl/comments1.xml><?xml version="1.0" encoding="utf-8"?>
<comments xmlns="http://schemas.openxmlformats.org/spreadsheetml/2006/main">
  <authors>
    <author>IOCT1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B2C
- Jornal
- Outdoor
- Rádio
-Televisão
- Elemídia
- Busdoor 
-  80,000,00 150.000,00 ( Lançamento)
-  30.000,00 - 60.000,00 ( Manutenção)
- Google ( AdsWords)
- Facebook
- Twitter
- E-mail Marketing
-  10.000,00( Lançamento)
-  5.000,00 ( Manutenção)
-Assessoria de Imprensa ( Jabá)
Dependo do profissional ( Não tenho idéia de valores)
Patrocínio de Eventos
- Esportivos
- Sociais
- Ecológicos
Dependo do porte do evento e do tamanho da cota de patrocínio desejada
 ( Não tenho idéia de valores)
B2B
- Site
- Mala-Direta
-Apresentação Institucional
- E-mail marketing
- Eventos
-Assessoria de Imprensa (Jabá)
- Lançamento : 50,000,00 - 100.000,00
- Manutenção:  5.000,00 - 10.000,00</t>
        </r>
      </text>
    </comment>
  </commentList>
</comments>
</file>

<file path=xl/comments2.xml><?xml version="1.0" encoding="utf-8"?>
<comments xmlns="http://schemas.openxmlformats.org/spreadsheetml/2006/main">
  <authors>
    <author>IOCT1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4 x Resmas A4 = 60,00
1 x Toner = 120,00
Geral = 100,00</t>
        </r>
      </text>
    </comment>
  </commentList>
</comments>
</file>

<file path=xl/comments3.xml><?xml version="1.0" encoding="utf-8"?>
<comments xmlns="http://schemas.openxmlformats.org/spreadsheetml/2006/main">
  <authors>
    <author>IOCT1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Equipe inicial: 7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Atualização de parque: 7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Novos integrantes: 5
Atualização de parque: 7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IOCT1:</t>
        </r>
        <r>
          <rPr>
            <sz val="9"/>
            <color indexed="81"/>
            <rFont val="Tahoma"/>
            <charset val="1"/>
          </rPr>
          <t xml:space="preserve">
Previsão de defeito em  máquinas: 2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>IOCT1: bondfaro.com.br (03/09/2013)</t>
        </r>
        <r>
          <rPr>
            <sz val="9"/>
            <color indexed="81"/>
            <rFont val="Tahoma"/>
            <charset val="1"/>
          </rPr>
          <t xml:space="preserve">
1 Galaxy S3 - 1600,00
1 Iphone X - 2600,00
1 iPad - 1900,00
1 Samsung Galaxy Note - 1.300,00
</t>
        </r>
      </text>
    </comment>
  </commentList>
</comments>
</file>

<file path=xl/comments4.xml><?xml version="1.0" encoding="utf-8"?>
<comments xmlns="http://schemas.openxmlformats.org/spreadsheetml/2006/main">
  <authors>
    <author>IOCT1</author>
    <author>Luiz Alves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PE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Início Operação SP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IOCT1:</t>
        </r>
        <r>
          <rPr>
            <sz val="9"/>
            <color indexed="81"/>
            <rFont val="Tahoma"/>
            <family val="2"/>
          </rPr>
          <t xml:space="preserve">
retirando investimento do lançamento da marca que estava incorporado no ANO 5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Ki = Rf + </t>
        </r>
        <r>
          <rPr>
            <sz val="9"/>
            <color indexed="81"/>
            <rFont val="Tahoma"/>
            <family val="2"/>
          </rPr>
          <t>β</t>
        </r>
        <r>
          <rPr>
            <sz val="9"/>
            <color indexed="81"/>
            <rFont val="Calibri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[E(Rm) - Rf]
Ke = Rf + β x [E(Rm) - Rf] + CRP
</t>
        </r>
      </text>
    </comment>
    <comment ref="N7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[E(Rm) - Rf]</t>
        </r>
      </text>
    </comment>
    <comment ref="N1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βL = βu x (1+D/E)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Retorno da Depreciação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(Receita anterior - Receita Atual) * Necessidade de capital de Giro</t>
        </r>
      </text>
    </comment>
    <comment ref="A14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Desembolso de Capital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Fluxos de Caixa Líquido do Acionista</t>
        </r>
      </text>
    </comment>
    <comment ref="B18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A taxa interna de retorno deste investimento é maior que o custo do dinheiro, que é de 15%.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No excel, a fórmula do NPV dá o valor justo. Deste valor, deve ser subtraído o valor do investimento inicial (neste caso, 20.000)</t>
        </r>
      </text>
    </comment>
    <comment ref="A20" authorId="1">
      <text>
        <r>
          <rPr>
            <b/>
            <sz val="9"/>
            <color indexed="81"/>
            <rFont val="Tahoma"/>
            <family val="2"/>
          </rPr>
          <t>Luiz Alves:</t>
        </r>
        <r>
          <rPr>
            <sz val="9"/>
            <color indexed="81"/>
            <rFont val="Tahoma"/>
            <family val="2"/>
          </rPr>
          <t xml:space="preserve">
Valor do negócio é igual ao VPL + o investimento inicial</t>
        </r>
      </text>
    </comment>
  </commentList>
</comments>
</file>

<file path=xl/sharedStrings.xml><?xml version="1.0" encoding="utf-8"?>
<sst xmlns="http://schemas.openxmlformats.org/spreadsheetml/2006/main" count="400" uniqueCount="164">
  <si>
    <t>Energia</t>
  </si>
  <si>
    <t>Telefone</t>
  </si>
  <si>
    <t>Internet</t>
  </si>
  <si>
    <t>Gelágua</t>
  </si>
  <si>
    <t>Fax</t>
  </si>
  <si>
    <t>TOTAL</t>
  </si>
  <si>
    <t>Depreciação</t>
  </si>
  <si>
    <t>ANO 1</t>
  </si>
  <si>
    <t>ANO 2</t>
  </si>
  <si>
    <t>ANO 3</t>
  </si>
  <si>
    <t>ANO 4</t>
  </si>
  <si>
    <t>ANO 5</t>
  </si>
  <si>
    <t>CUSTO MENSAL - RECURSOS HUMANOS</t>
  </si>
  <si>
    <t>Pró-labore Executivo Presidente</t>
  </si>
  <si>
    <t>Auxiliar Administrativo</t>
  </si>
  <si>
    <t>Diretor Administrativo Financeiro</t>
  </si>
  <si>
    <t>Analista Financeiro</t>
  </si>
  <si>
    <t>Administrativo Financeiro</t>
  </si>
  <si>
    <t>Marketing</t>
  </si>
  <si>
    <t>Diretor de Marketing</t>
  </si>
  <si>
    <t>Analista de Marketing 1</t>
  </si>
  <si>
    <t>Analista de Marketing 2</t>
  </si>
  <si>
    <t>Analista de Marketing 3</t>
  </si>
  <si>
    <t>Analista de Marketing 4</t>
  </si>
  <si>
    <t>Operações</t>
  </si>
  <si>
    <t>Analista de Operações 1</t>
  </si>
  <si>
    <t>Analista de Operações 2</t>
  </si>
  <si>
    <t>Analista de Operações 3</t>
  </si>
  <si>
    <t>Analista de Operações 4</t>
  </si>
  <si>
    <t>Diretor de Operações</t>
  </si>
  <si>
    <t>Gerente Administrativo Financeiro</t>
  </si>
  <si>
    <t>TI</t>
  </si>
  <si>
    <t>Analista de Desenvolvimento Pleno</t>
  </si>
  <si>
    <t>Desenvolvedor Pleno 1</t>
  </si>
  <si>
    <t>Desenvolvedor Junior 1</t>
  </si>
  <si>
    <t>Desenvolvedor Junior 2</t>
  </si>
  <si>
    <t>Analista de Testes</t>
  </si>
  <si>
    <t>Analista de Suporte Pleno</t>
  </si>
  <si>
    <t>Desenvolvedor Junior 3</t>
  </si>
  <si>
    <t>Jurídico</t>
  </si>
  <si>
    <t>Advogado Esp. Direito Ambiental</t>
  </si>
  <si>
    <t>Diretor Jurídico</t>
  </si>
  <si>
    <t>Diretor de TI</t>
  </si>
  <si>
    <t>Advogado Esp. Contratos</t>
  </si>
  <si>
    <t>Gerente de Operações</t>
  </si>
  <si>
    <t>Gerente de Marketing</t>
  </si>
  <si>
    <t>Dissídio</t>
  </si>
  <si>
    <t>Gerente Jurídico</t>
  </si>
  <si>
    <t>Gerente de TI</t>
  </si>
  <si>
    <r>
      <t>REMUNERAÇÃO MENSAL - RECURSOS HUMANOS -</t>
    </r>
    <r>
      <rPr>
        <b/>
        <sz val="8"/>
        <color rgb="FFFFFFFF"/>
        <rFont val="Calibri"/>
        <family val="2"/>
      </rPr>
      <t xml:space="preserve"> www.catho.com.br (02/09/13)</t>
    </r>
  </si>
  <si>
    <t>Encargos</t>
  </si>
  <si>
    <t>Executiva</t>
  </si>
  <si>
    <t>Contabilidade e Folha de Pagamentos</t>
  </si>
  <si>
    <t>Recrutamento e Seleção</t>
  </si>
  <si>
    <t>Reajuste</t>
  </si>
  <si>
    <t>CUSTO ANUAL - RECURSOS HUMANOS</t>
  </si>
  <si>
    <t>Agência de Com. Soc e Mídias Digitais</t>
  </si>
  <si>
    <t>Cresc. Inv</t>
  </si>
  <si>
    <r>
      <t xml:space="preserve">CUSTO MENSAL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</si>
  <si>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Hospedagem de Site</t>
  </si>
  <si>
    <t>Registro de domínio</t>
  </si>
  <si>
    <t xml:space="preserve">Locação de Sevidor </t>
  </si>
  <si>
    <t>Aluguel de Carro 1</t>
  </si>
  <si>
    <t>Aluguel de Carro 2</t>
  </si>
  <si>
    <t>Aluguel de Carro 3</t>
  </si>
  <si>
    <t>Aluguel de Carro 4</t>
  </si>
  <si>
    <t>Auditoria</t>
  </si>
  <si>
    <r>
      <t xml:space="preserve">CUSTO ANUAL - SERVIÇO DE TERCEIROS </t>
    </r>
    <r>
      <rPr>
        <b/>
        <sz val="8"/>
        <color rgb="FFFFFFFF"/>
        <rFont val="Calibri"/>
        <family val="2"/>
        <scheme val="minor"/>
      </rPr>
      <t>(02/09/13)</t>
    </r>
  </si>
  <si>
    <t>Assessoria Jurídica</t>
  </si>
  <si>
    <t>Serviços Gerais 1</t>
  </si>
  <si>
    <t>Serviços Gerais 2</t>
  </si>
  <si>
    <t>Serviços Gerais 3</t>
  </si>
  <si>
    <t>Segurança Patrimonial</t>
  </si>
  <si>
    <r>
      <t xml:space="preserve">CUSTO FIXO MENSAL </t>
    </r>
    <r>
      <rPr>
        <b/>
        <sz val="8"/>
        <color rgb="FFFFFFFF"/>
        <rFont val="Calibri"/>
        <family val="2"/>
        <scheme val="minor"/>
      </rPr>
      <t>(02/09/13)</t>
    </r>
  </si>
  <si>
    <t>Filial 1 - Pernambuco</t>
  </si>
  <si>
    <t>Filial 2 - São Paulo</t>
  </si>
  <si>
    <t>Matriz- Fortaleza</t>
  </si>
  <si>
    <r>
      <t xml:space="preserve">CUSTO FIXO ANUAL </t>
    </r>
    <r>
      <rPr>
        <b/>
        <sz val="8"/>
        <color rgb="FFFFFFFF"/>
        <rFont val="Calibri"/>
        <family val="2"/>
        <scheme val="minor"/>
      </rPr>
      <t>(02/09/13)</t>
    </r>
  </si>
  <si>
    <t>Ajuste</t>
  </si>
  <si>
    <r>
      <t xml:space="preserve">Aluguel </t>
    </r>
    <r>
      <rPr>
        <sz val="8"/>
        <color rgb="FF000000"/>
        <rFont val="Calibri"/>
        <family val="2"/>
        <scheme val="minor"/>
      </rPr>
      <t>(2x salas 30m2 - www.sj.com.br)</t>
    </r>
  </si>
  <si>
    <r>
      <t xml:space="preserve">Condomínio </t>
    </r>
    <r>
      <rPr>
        <sz val="8"/>
        <color rgb="FF000000"/>
        <rFont val="Calibri"/>
        <family val="2"/>
      </rPr>
      <t xml:space="preserve"> (2 x sala 30m2 - www.sj.com.br)</t>
    </r>
  </si>
  <si>
    <t>Material de Escritório</t>
  </si>
  <si>
    <t>Cresc. Infra</t>
  </si>
  <si>
    <t>Material Limpeza e Conservação</t>
  </si>
  <si>
    <r>
      <t xml:space="preserve">Aluguel </t>
    </r>
    <r>
      <rPr>
        <sz val="8"/>
        <color rgb="FF000000"/>
        <rFont val="Calibri"/>
        <family val="2"/>
        <scheme val="minor"/>
      </rPr>
      <t>(1x salas 31m2 - http://www.vivareal.com.br/)</t>
    </r>
  </si>
  <si>
    <r>
      <t xml:space="preserve">Condomínio </t>
    </r>
    <r>
      <rPr>
        <sz val="8"/>
        <color rgb="FF000000"/>
        <rFont val="Calibri"/>
        <family val="2"/>
      </rPr>
      <t xml:space="preserve"> (1 x sala 30m2 - http://www.vivareal.com.br/)</t>
    </r>
  </si>
  <si>
    <r>
      <t xml:space="preserve">Aluguel </t>
    </r>
    <r>
      <rPr>
        <sz val="8"/>
        <color rgb="FF000000"/>
        <rFont val="Calibri"/>
        <family val="2"/>
        <scheme val="minor"/>
      </rPr>
      <t>(1x sala 30m2 - http://www.vivareal.com.br/)</t>
    </r>
  </si>
  <si>
    <t>Servidores</t>
  </si>
  <si>
    <t>Impressoras</t>
  </si>
  <si>
    <t>Central Telefônica</t>
  </si>
  <si>
    <t>Roteador Wi-Fi</t>
  </si>
  <si>
    <t>Ar-condicionados</t>
  </si>
  <si>
    <t>Mesas</t>
  </si>
  <si>
    <t>Cadeiras</t>
  </si>
  <si>
    <t>Cestos de Lixo</t>
  </si>
  <si>
    <t>Computadores Equipe TI</t>
  </si>
  <si>
    <t>Computadores Equipe Operacional</t>
  </si>
  <si>
    <t>Laçamento - Marca, Serviço</t>
  </si>
  <si>
    <t>Manut. Ag. de com. Soc. e Mídias Dig.</t>
  </si>
  <si>
    <t>Dispositivos móveis</t>
  </si>
  <si>
    <r>
      <t xml:space="preserve">INVESTIMENTO ANUAL - INFRAESTRUTURA </t>
    </r>
    <r>
      <rPr>
        <b/>
        <sz val="8"/>
        <color rgb="FFFFFFFF"/>
        <rFont val="Calibri"/>
        <family val="2"/>
        <scheme val="minor"/>
      </rPr>
      <t>(02/09/13)</t>
    </r>
  </si>
  <si>
    <t>NECESSIDADE DE INVESTIMENTOS - SELLETIVA</t>
  </si>
  <si>
    <t>Fluxo de Caixa</t>
  </si>
  <si>
    <t>Imposto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</si>
  <si>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</si>
  <si>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</si>
  <si>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</si>
  <si>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</si>
  <si>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</si>
  <si>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</si>
  <si>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</si>
  <si>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</si>
  <si>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</si>
  <si>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</si>
  <si>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</si>
  <si>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Depreciação (anos)</t>
  </si>
  <si>
    <t>Receitas</t>
  </si>
  <si>
    <t>Variação Capital de Giro</t>
  </si>
  <si>
    <t>Custos Fixos</t>
  </si>
  <si>
    <t>Risco (K)</t>
  </si>
  <si>
    <t>Custos Variáveis</t>
  </si>
  <si>
    <t>Custo variável (% receita)</t>
  </si>
  <si>
    <t>Beta setorial desalavancado (βu)</t>
  </si>
  <si>
    <t>EBIT</t>
  </si>
  <si>
    <t>Relação D/E</t>
  </si>
  <si>
    <t>Juros</t>
  </si>
  <si>
    <t>Prêmio de risco de mercado</t>
  </si>
  <si>
    <t>LAIR</t>
  </si>
  <si>
    <t>Risk free</t>
  </si>
  <si>
    <t>IR+CSLL</t>
  </si>
  <si>
    <t>Beta setorial alavancado (βL)</t>
  </si>
  <si>
    <t>Lucro Líquido</t>
  </si>
  <si>
    <t>Juros (debêntures)</t>
  </si>
  <si>
    <t>Endividamento</t>
  </si>
  <si>
    <t>Custo de risco país (CRP)</t>
  </si>
  <si>
    <t>CAPEX</t>
  </si>
  <si>
    <t>FCFE</t>
  </si>
  <si>
    <t>TIR</t>
  </si>
  <si>
    <t>TIR &gt; K.  Vale a pena fazer investimento</t>
  </si>
  <si>
    <t>VPL</t>
  </si>
  <si>
    <t>VPL positivo. Vale a pena fazer investimento</t>
  </si>
  <si>
    <t>Valor</t>
  </si>
  <si>
    <t>Payback Simples</t>
  </si>
  <si>
    <t>Payback Descontado</t>
  </si>
  <si>
    <t>Período</t>
  </si>
  <si>
    <t>SDI</t>
  </si>
  <si>
    <t>FCX</t>
  </si>
  <si>
    <t>SDF</t>
  </si>
  <si>
    <t>FCXd</t>
  </si>
  <si>
    <t>ANO 0</t>
  </si>
  <si>
    <t>Formatação no negócio no Estado</t>
  </si>
  <si>
    <t>EBITDA</t>
  </si>
  <si>
    <t>Year 1</t>
  </si>
  <si>
    <t>Year 2</t>
  </si>
  <si>
    <t>Year 3</t>
  </si>
  <si>
    <t>Year 4</t>
  </si>
  <si>
    <t>Year 5</t>
  </si>
  <si>
    <t>Year 6</t>
  </si>
  <si>
    <t>Billing</t>
  </si>
  <si>
    <t>Working Capital</t>
  </si>
  <si>
    <t>Infrastructure</t>
  </si>
  <si>
    <t>Operating Expense</t>
  </si>
  <si>
    <t xml:space="preserve">Outsourced Services 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</si>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</sst>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&quot;R$&quot;\ #,##0.00"/>
  </numFmts>
  <fonts count="28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8"/>
      <color rgb="FFFFFFFF"/>
      <name val="Calibri"/>
      <family val="2"/>
    </font>
    <font>
      <b/>
      <i/>
      <sz val="10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2" borderId="1" xfId="0" applyFont="1" applyFill="1" applyBorder="1" applyAlignment="1"/>
    <xf numFmtId="44" fontId="5" fillId="2" borderId="1" xfId="0" applyNumberFormat="1" applyFont="1" applyFill="1" applyBorder="1" applyAlignment="1"/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6" borderId="0" xfId="0" applyNumberFormat="1" applyFont="1" applyFill="1"/>
    <xf numFmtId="9" fontId="4" fillId="0" borderId="0" xfId="1" applyFont="1"/>
    <xf numFmtId="43" fontId="4" fillId="5" borderId="0" xfId="0" applyNumberFormat="1" applyFont="1" applyFill="1"/>
    <xf numFmtId="0" fontId="10" fillId="5" borderId="0" xfId="0" applyFont="1" applyFill="1" applyAlignment="1">
      <alignment horizontal="center"/>
    </xf>
    <xf numFmtId="43" fontId="9" fillId="5" borderId="0" xfId="0" applyNumberFormat="1" applyFont="1" applyFill="1"/>
    <xf numFmtId="0" fontId="12" fillId="3" borderId="0" xfId="0" applyFont="1" applyFill="1"/>
    <xf numFmtId="43" fontId="12" fillId="3" borderId="0" xfId="0" applyNumberFormat="1" applyFont="1" applyFill="1"/>
    <xf numFmtId="0" fontId="4" fillId="5" borderId="2" xfId="0" applyFont="1" applyFill="1" applyBorder="1"/>
    <xf numFmtId="9" fontId="4" fillId="5" borderId="3" xfId="1" applyFont="1" applyFill="1" applyBorder="1"/>
    <xf numFmtId="9" fontId="6" fillId="0" borderId="0" xfId="1" applyFont="1"/>
    <xf numFmtId="43" fontId="6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43" fontId="6" fillId="5" borderId="0" xfId="0" applyNumberFormat="1" applyFont="1" applyFill="1"/>
    <xf numFmtId="0" fontId="6" fillId="0" borderId="0" xfId="0" applyFont="1" applyAlignment="1">
      <alignment horizontal="left"/>
    </xf>
    <xf numFmtId="43" fontId="16" fillId="5" borderId="0" xfId="0" applyNumberFormat="1" applyFont="1" applyFill="1"/>
    <xf numFmtId="0" fontId="17" fillId="3" borderId="0" xfId="0" applyFont="1" applyFill="1"/>
    <xf numFmtId="43" fontId="17" fillId="3" borderId="0" xfId="0" applyNumberFormat="1" applyFont="1" applyFill="1"/>
    <xf numFmtId="9" fontId="5" fillId="2" borderId="1" xfId="1" applyFont="1" applyFill="1" applyBorder="1" applyAlignment="1"/>
    <xf numFmtId="0" fontId="10" fillId="0" borderId="0" xfId="0" applyFont="1" applyAlignment="1">
      <alignment horizontal="center"/>
    </xf>
    <xf numFmtId="43" fontId="15" fillId="0" borderId="0" xfId="0" applyNumberFormat="1" applyFont="1"/>
    <xf numFmtId="10" fontId="24" fillId="7" borderId="3" xfId="0" applyNumberFormat="1" applyFont="1" applyFill="1" applyBorder="1"/>
    <xf numFmtId="8" fontId="24" fillId="7" borderId="3" xfId="0" applyNumberFormat="1" applyFont="1" applyFill="1" applyBorder="1"/>
    <xf numFmtId="43" fontId="25" fillId="7" borderId="13" xfId="0" applyNumberFormat="1" applyFont="1" applyFill="1" applyBorder="1"/>
    <xf numFmtId="2" fontId="24" fillId="7" borderId="13" xfId="0" applyNumberFormat="1" applyFont="1" applyFill="1" applyBorder="1"/>
    <xf numFmtId="9" fontId="6" fillId="0" borderId="0" xfId="1" applyFont="1" applyAlignment="1">
      <alignment horizontal="right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0" borderId="5" xfId="0" applyFont="1" applyBorder="1"/>
    <xf numFmtId="43" fontId="6" fillId="0" borderId="6" xfId="0" applyNumberFormat="1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6" fillId="0" borderId="1" xfId="0" applyNumberFormat="1" applyFont="1" applyBorder="1"/>
    <xf numFmtId="43" fontId="6" fillId="0" borderId="9" xfId="0" applyNumberFormat="1" applyFont="1" applyBorder="1"/>
    <xf numFmtId="10" fontId="6" fillId="0" borderId="0" xfId="1" applyNumberFormat="1" applyFont="1" applyAlignment="1">
      <alignment horizontal="right"/>
    </xf>
    <xf numFmtId="0" fontId="6" fillId="0" borderId="10" xfId="0" applyFont="1" applyBorder="1"/>
    <xf numFmtId="43" fontId="6" fillId="0" borderId="11" xfId="0" applyNumberFormat="1" applyFont="1" applyBorder="1"/>
    <xf numFmtId="43" fontId="6" fillId="0" borderId="12" xfId="0" applyNumberFormat="1" applyFont="1" applyBorder="1"/>
    <xf numFmtId="2" fontId="6" fillId="0" borderId="0" xfId="1" applyNumberFormat="1" applyFont="1" applyAlignment="1">
      <alignment horizontal="right"/>
    </xf>
    <xf numFmtId="164" fontId="6" fillId="0" borderId="0" xfId="0" applyNumberFormat="1" applyFont="1"/>
    <xf numFmtId="10" fontId="6" fillId="0" borderId="0" xfId="1" applyNumberFormat="1" applyFont="1"/>
    <xf numFmtId="165" fontId="6" fillId="0" borderId="0" xfId="0" applyNumberFormat="1" applyFont="1"/>
    <xf numFmtId="0" fontId="6" fillId="7" borderId="2" xfId="0" applyFont="1" applyFill="1" applyBorder="1"/>
    <xf numFmtId="43" fontId="6" fillId="7" borderId="4" xfId="0" applyNumberFormat="1" applyFont="1" applyFill="1" applyBorder="1"/>
    <xf numFmtId="43" fontId="6" fillId="7" borderId="3" xfId="0" applyNumberFormat="1" applyFont="1" applyFill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43" fontId="6" fillId="8" borderId="0" xfId="0" applyNumberFormat="1" applyFont="1" applyFill="1" applyAlignment="1">
      <alignment horizontal="center"/>
    </xf>
    <xf numFmtId="40" fontId="6" fillId="8" borderId="0" xfId="0" applyNumberFormat="1" applyFont="1" applyFill="1" applyAlignment="1">
      <alignment horizontal="center"/>
    </xf>
    <xf numFmtId="40" fontId="6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CONSOLIDAÇÃO!$B$2</c:f>
              <c:strCache>
                <c:ptCount val="1"/>
                <c:pt idx="0">
                  <c:v>ANO 0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CONSOLIDAÇÃO!$A$3:$A$8</c:f>
              <c:strCache>
                <c:ptCount val="6"/>
                <c:pt idx="0">
                  <c:v>HR</c:v>
                </c:pt>
                <c:pt idx="1">
                  <c:v>Outsourced Services </c:v>
                </c:pt>
                <c:pt idx="2">
                  <c:v>Marketing</c:v>
                </c:pt>
                <c:pt idx="3">
                  <c:v>Operating Expense</c:v>
                </c:pt>
                <c:pt idx="4">
                  <c:v>Infrastructure</c:v>
                </c:pt>
                <c:pt idx="5">
                  <c:v>Working Capital</c:v>
                </c:pt>
              </c:strCache>
            </c:strRef>
          </c:cat>
          <c:val>
            <c:numRef>
              <c:f>CONSOLIDAÇÃO!$B$3:$B$8</c:f>
              <c:numCache>
                <c:formatCode>_(* #,##0.00_);_(* \(#,##0.00\);_(* "-"??_);_(@_)</c:formatCode>
                <c:ptCount val="6"/>
                <c:pt idx="0">
                  <c:v>242075</c:v>
                </c:pt>
                <c:pt idx="1">
                  <c:v>38926.666666666672</c:v>
                </c:pt>
                <c:pt idx="2">
                  <c:v>233333.33333333334</c:v>
                </c:pt>
                <c:pt idx="3">
                  <c:v>23250</c:v>
                </c:pt>
                <c:pt idx="4">
                  <c:v>37545.833333333336</c:v>
                </c:pt>
                <c:pt idx="5">
                  <c:v>47927.569444444453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Billing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'Fluxo de Caixa'!$C$39:$G$39</c:f>
              <c:numCache>
                <c:formatCode>_(* #,##0.00_);_(* \(#,##0.00\);_(* "-"??_);_(@_)</c:formatCode>
                <c:ptCount val="5"/>
                <c:pt idx="0">
                  <c:v>1.25</c:v>
                </c:pt>
                <c:pt idx="1">
                  <c:v>1.625</c:v>
                </c:pt>
                <c:pt idx="2">
                  <c:v>2.7625000000000002</c:v>
                </c:pt>
                <c:pt idx="3">
                  <c:v>3.3150000000000004</c:v>
                </c:pt>
                <c:pt idx="4">
                  <c:v>5.9670000000000005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cat>
            <c:strRef>
              <c:f>'Fluxo de Caixa'!$C$38:$G$38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'Fluxo de Caixa'!$C$42:$G$42</c:f>
              <c:numCache>
                <c:formatCode>_(* #,##0.00_);_(* \(#,##0.00\);_(* "-"??_);_(@_)</c:formatCode>
                <c:ptCount val="5"/>
                <c:pt idx="0">
                  <c:v>0.76036215277777774</c:v>
                </c:pt>
                <c:pt idx="1">
                  <c:v>0.75343816666666674</c:v>
                </c:pt>
                <c:pt idx="2">
                  <c:v>1.1296480083333331</c:v>
                </c:pt>
                <c:pt idx="3">
                  <c:v>1.5481929929166667</c:v>
                </c:pt>
                <c:pt idx="4">
                  <c:v>2.1557935869625005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592256"/>
        <c:axId val="98593792"/>
        <c:axId val="0"/>
      </c:bar3DChart>
      <c:catAx>
        <c:axId val="98592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593792"/>
        <c:crosses val="autoZero"/>
        <c:auto val="1"/>
        <c:lblAlgn val="ctr"/>
        <c:lblOffset val="100"/>
        <c:noMultiLvlLbl val="0"/>
      </c:catAx>
      <c:valAx>
        <c:axId val="9859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98592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de Caixa'!$A$39:$B$39</c:f>
              <c:strCache>
                <c:ptCount val="1"/>
                <c:pt idx="0">
                  <c:v>Billing</c:v>
                </c:pt>
              </c:strCache>
            </c:strRef>
          </c:tx>
          <c:invertIfNegative val="0"/>
          <c:cat>
            <c:strRef>
              <c:f>'Fluxo de Caixa'!$C$38:$H$38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</c:strCache>
            </c:strRef>
          </c:cat>
          <c:val>
            <c:numRef>
              <c:f>'Fluxo de Caixa'!$C$39:$H$39</c:f>
              <c:numCache>
                <c:formatCode>_(* #,##0.00_);_(* \(#,##0.00\);_(* "-"??_);_(@_)</c:formatCode>
                <c:ptCount val="6"/>
                <c:pt idx="0">
                  <c:v>1.25</c:v>
                </c:pt>
                <c:pt idx="1">
                  <c:v>1.625</c:v>
                </c:pt>
                <c:pt idx="2">
                  <c:v>2.7625000000000002</c:v>
                </c:pt>
                <c:pt idx="3">
                  <c:v>3.3150000000000004</c:v>
                </c:pt>
                <c:pt idx="4">
                  <c:v>5.9670000000000005</c:v>
                </c:pt>
                <c:pt idx="5">
                  <c:v>8.9505000000000017</c:v>
                </c:pt>
              </c:numCache>
            </c:numRef>
          </c:val>
        </c:ser>
        <c:ser>
          <c:idx val="1"/>
          <c:order val="1"/>
          <c:tx>
            <c:strRef>
              <c:f>'Fluxo de Caixa'!$A$42:$B$42</c:f>
              <c:strCache>
                <c:ptCount val="1"/>
                <c:pt idx="0">
                  <c:v>EBITDA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888888888888888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44444444444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888888888888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666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55555555555565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'Fluxo de Caixa'!$C$38:$H$38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</c:strCache>
            </c:strRef>
          </c:cat>
          <c:val>
            <c:numRef>
              <c:f>'Fluxo de Caixa'!$C$42:$H$42</c:f>
              <c:numCache>
                <c:formatCode>_(* #,##0.00_);_(* \(#,##0.00\);_(* "-"??_);_(@_)</c:formatCode>
                <c:ptCount val="6"/>
                <c:pt idx="0">
                  <c:v>0.76036215277777774</c:v>
                </c:pt>
                <c:pt idx="1">
                  <c:v>0.75343816666666674</c:v>
                </c:pt>
                <c:pt idx="2">
                  <c:v>1.1296480083333331</c:v>
                </c:pt>
                <c:pt idx="3">
                  <c:v>1.5481929929166667</c:v>
                </c:pt>
                <c:pt idx="4">
                  <c:v>2.1557935869625005</c:v>
                </c:pt>
                <c:pt idx="5">
                  <c:v>4.6734839076143766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2761600"/>
        <c:axId val="102763136"/>
        <c:axId val="0"/>
      </c:bar3DChart>
      <c:catAx>
        <c:axId val="102761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763136"/>
        <c:crosses val="autoZero"/>
        <c:auto val="1"/>
        <c:lblAlgn val="ctr"/>
        <c:lblOffset val="100"/>
        <c:noMultiLvlLbl val="0"/>
      </c:catAx>
      <c:valAx>
        <c:axId val="1027631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2761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346500437445322"/>
          <c:y val="5.5171697287839022E-2"/>
          <c:w val="0.3575144356955379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105277</xdr:colOff>
      <xdr:row>12</xdr:row>
      <xdr:rowOff>10026</xdr:rowOff>
    </xdr:from>
    <xdr:to>
      <xdr:col>6</xdr:col>
      <xdr:colOff>5013</xdr:colOff>
      <xdr:row>30</xdr:row>
      <xdr:rowOff>40606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421105</xdr:colOff>
      <xdr:row>28</xdr:row>
      <xdr:rowOff>60159</xdr:rowOff>
    </xdr:from>
    <xdr:ext cx="709105" cy="217560"/>
    <xdr:sp macro="" textlink="">
      <xdr:nvSpPr>
        <xdr:cNvPr id="3" name="CaixaDeTexto 2"/>
        <xdr:cNvSpPr txBox="1"/>
      </xdr:nvSpPr>
      <xdr:spPr>
        <a:xfrm>
          <a:off x="2471487" y="4612106"/>
          <a:ext cx="70910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$ Thousands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153865</xdr:colOff>
      <xdr:row>46</xdr:row>
      <xdr:rowOff>82794</xdr:rowOff>
    </xdr:from>
    <xdr:to>
      <xdr:col>14</xdr:col>
      <xdr:colOff>73269</xdr:colOff>
      <xdr:row>63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849923</xdr:colOff>
      <xdr:row>44</xdr:row>
      <xdr:rowOff>141409</xdr:rowOff>
    </xdr:from>
    <xdr:to>
      <xdr:col>8</xdr:col>
      <xdr:colOff>117230</xdr:colOff>
      <xdr:row>61</xdr:row>
      <xdr:rowOff>144340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0.38462</cdr:x>
      <cdr:y>0.90465</cdr:y>
    </cdr:from>
    <cdr:to>
      <cdr:x>0.58462</cdr:x>
      <cdr:y>0.98665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58462" y="2481629"/>
          <a:ext cx="914400" cy="224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$ million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zoomScale="160" zoomScaleNormal="160" workbookViewId="0">
      <selection activeCell="B89" sqref="B89"/>
    </sheetView>
  </sheetViews>
  <sheetFormatPr defaultRowHeight="12.75" x14ac:dyDescent="0.2"/>
  <cols>
    <col min="1" max="1" width="37.1640625" style="1" customWidth="1"/>
    <col min="2" max="3" width="13.6640625" style="1" bestFit="1" customWidth="1"/>
    <col min="4" max="6" width="15.33203125" style="1" bestFit="1" customWidth="1"/>
    <col min="7" max="16384" width="9.33203125" style="1"/>
  </cols>
  <sheetData>
    <row r="1" spans="1:8" ht="15.75" thickBot="1" x14ac:dyDescent="0.3">
      <c r="A1" s="66" t="s">
        <v>49</v>
      </c>
      <c r="B1" s="66"/>
      <c r="C1" s="66"/>
      <c r="D1" s="66"/>
      <c r="E1" s="66"/>
      <c r="F1" s="66"/>
      <c r="G1" s="15" t="s">
        <v>46</v>
      </c>
      <c r="H1" s="16">
        <v>0.1</v>
      </c>
    </row>
    <row r="2" spans="1:8" ht="15" x14ac:dyDescent="0.25">
      <c r="A2" s="5"/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8" x14ac:dyDescent="0.2">
      <c r="A3" s="11" t="s">
        <v>51</v>
      </c>
      <c r="B3" s="10"/>
      <c r="C3" s="10"/>
      <c r="D3" s="10"/>
      <c r="E3" s="10"/>
      <c r="F3" s="10"/>
    </row>
    <row r="4" spans="1:8" x14ac:dyDescent="0.2">
      <c r="A4" s="1" t="s">
        <v>13</v>
      </c>
      <c r="B4" s="7">
        <v>6000</v>
      </c>
      <c r="C4" s="7">
        <f>B4*(1+$H$1)</f>
        <v>6600.0000000000009</v>
      </c>
      <c r="D4" s="7">
        <f>C4*(1+$H$1)</f>
        <v>7260.0000000000018</v>
      </c>
      <c r="E4" s="7">
        <f>D4*(1+$H$1)</f>
        <v>7986.0000000000027</v>
      </c>
      <c r="F4" s="7">
        <v>10000</v>
      </c>
    </row>
    <row r="5" spans="1:8" x14ac:dyDescent="0.2">
      <c r="A5" s="11" t="s">
        <v>17</v>
      </c>
      <c r="B5" s="10"/>
      <c r="C5" s="10"/>
      <c r="D5" s="10"/>
      <c r="E5" s="10"/>
      <c r="F5" s="10"/>
    </row>
    <row r="6" spans="1:8" x14ac:dyDescent="0.2">
      <c r="A6" s="1" t="s">
        <v>15</v>
      </c>
      <c r="B6" s="8"/>
      <c r="C6" s="8"/>
      <c r="D6" s="8"/>
      <c r="E6" s="8"/>
      <c r="F6" s="7">
        <v>8000</v>
      </c>
    </row>
    <row r="7" spans="1:8" x14ac:dyDescent="0.2">
      <c r="A7" s="1" t="s">
        <v>30</v>
      </c>
      <c r="B7" s="7">
        <v>2500</v>
      </c>
      <c r="C7" s="7">
        <f>B7*(1+$H$1)</f>
        <v>2750</v>
      </c>
      <c r="D7" s="7">
        <f>C7*(1+$H$1)</f>
        <v>3025.0000000000005</v>
      </c>
      <c r="E7" s="7">
        <f>D7*(1+$H$1)</f>
        <v>3327.5000000000009</v>
      </c>
      <c r="F7" s="7">
        <f>E7*(1+$H$1)</f>
        <v>3660.2500000000014</v>
      </c>
    </row>
    <row r="8" spans="1:8" x14ac:dyDescent="0.2">
      <c r="A8" s="1" t="s">
        <v>16</v>
      </c>
      <c r="B8" s="8"/>
      <c r="C8" s="8"/>
      <c r="D8" s="7">
        <v>2200</v>
      </c>
      <c r="E8" s="7">
        <v>2201</v>
      </c>
      <c r="F8" s="7">
        <f>E8*(1+$H$1)</f>
        <v>2421.1000000000004</v>
      </c>
    </row>
    <row r="9" spans="1:8" x14ac:dyDescent="0.2">
      <c r="A9" s="1" t="s">
        <v>14</v>
      </c>
      <c r="B9" s="7">
        <v>1200</v>
      </c>
      <c r="C9" s="7">
        <f t="shared" ref="C9:E10" si="0">B9*(1+$H$1)</f>
        <v>1320</v>
      </c>
      <c r="D9" s="7">
        <f t="shared" si="0"/>
        <v>1452.0000000000002</v>
      </c>
      <c r="E9" s="7">
        <f t="shared" si="0"/>
        <v>1597.2000000000003</v>
      </c>
      <c r="F9" s="7">
        <f>E9*(1+$H$1)</f>
        <v>1756.9200000000005</v>
      </c>
    </row>
    <row r="10" spans="1:8" x14ac:dyDescent="0.2">
      <c r="A10" s="1" t="s">
        <v>69</v>
      </c>
      <c r="B10" s="7">
        <v>750</v>
      </c>
      <c r="C10" s="7">
        <f t="shared" si="0"/>
        <v>825.00000000000011</v>
      </c>
      <c r="D10" s="7">
        <f t="shared" si="0"/>
        <v>907.50000000000023</v>
      </c>
      <c r="E10" s="7">
        <f t="shared" si="0"/>
        <v>998.25000000000034</v>
      </c>
      <c r="F10" s="7">
        <f>E10*(1+$H$1)</f>
        <v>1098.0750000000005</v>
      </c>
    </row>
    <row r="11" spans="1:8" x14ac:dyDescent="0.2">
      <c r="A11" s="1" t="s">
        <v>70</v>
      </c>
      <c r="B11" s="8"/>
      <c r="C11" s="8"/>
      <c r="D11" s="8"/>
      <c r="E11" s="7">
        <f>E10</f>
        <v>998.25000000000034</v>
      </c>
      <c r="F11" s="7">
        <f>F10</f>
        <v>1098.0750000000005</v>
      </c>
    </row>
    <row r="12" spans="1:8" x14ac:dyDescent="0.2">
      <c r="A12" s="1" t="s">
        <v>71</v>
      </c>
      <c r="B12" s="8"/>
      <c r="C12" s="8"/>
      <c r="D12" s="8"/>
      <c r="E12" s="8"/>
      <c r="F12" s="7">
        <f>F11</f>
        <v>1098.0750000000005</v>
      </c>
    </row>
    <row r="13" spans="1:8" x14ac:dyDescent="0.2">
      <c r="A13" s="11" t="s">
        <v>18</v>
      </c>
      <c r="B13" s="10"/>
      <c r="C13" s="10"/>
      <c r="D13" s="10"/>
      <c r="E13" s="10"/>
      <c r="F13" s="10"/>
    </row>
    <row r="14" spans="1:8" x14ac:dyDescent="0.2">
      <c r="A14" s="1" t="s">
        <v>19</v>
      </c>
      <c r="B14" s="8"/>
      <c r="C14" s="8"/>
      <c r="D14" s="8"/>
      <c r="E14" s="8"/>
      <c r="F14" s="7">
        <v>8000</v>
      </c>
    </row>
    <row r="15" spans="1:8" x14ac:dyDescent="0.2">
      <c r="A15" s="1" t="s">
        <v>45</v>
      </c>
      <c r="B15" s="7">
        <v>2500</v>
      </c>
      <c r="C15" s="7">
        <f>B15*(1+$H$1)</f>
        <v>2750</v>
      </c>
      <c r="D15" s="7">
        <f>C15*(1+$H$1)</f>
        <v>3025.0000000000005</v>
      </c>
      <c r="E15" s="7">
        <f>D15*(1+$H$1)</f>
        <v>3327.5000000000009</v>
      </c>
      <c r="F15" s="7">
        <f>E15*(1+$H$1)</f>
        <v>3660.2500000000014</v>
      </c>
    </row>
    <row r="16" spans="1:8" x14ac:dyDescent="0.2">
      <c r="A16" s="1" t="s">
        <v>20</v>
      </c>
      <c r="B16" s="8"/>
      <c r="C16" s="8"/>
      <c r="D16" s="7">
        <v>1600</v>
      </c>
      <c r="E16" s="7">
        <f>D16*(1+$H$1)</f>
        <v>1760.0000000000002</v>
      </c>
      <c r="F16" s="7">
        <f>E16*(1+$H$1)</f>
        <v>1936.0000000000005</v>
      </c>
    </row>
    <row r="17" spans="1:6" x14ac:dyDescent="0.2">
      <c r="A17" s="1" t="s">
        <v>21</v>
      </c>
      <c r="B17" s="8"/>
      <c r="C17" s="8"/>
      <c r="D17" s="7">
        <v>1600</v>
      </c>
      <c r="E17" s="7">
        <f>D17*(1+$H$1)</f>
        <v>1760.0000000000002</v>
      </c>
      <c r="F17" s="7">
        <f>E17*(1+$H$1)</f>
        <v>1936.0000000000005</v>
      </c>
    </row>
    <row r="18" spans="1:6" x14ac:dyDescent="0.2">
      <c r="A18" s="1" t="s">
        <v>22</v>
      </c>
      <c r="B18" s="8"/>
      <c r="C18" s="8"/>
      <c r="D18" s="8"/>
      <c r="E18" s="8"/>
      <c r="F18" s="7">
        <f>D17</f>
        <v>1600</v>
      </c>
    </row>
    <row r="19" spans="1:6" x14ac:dyDescent="0.2">
      <c r="A19" s="1" t="s">
        <v>23</v>
      </c>
      <c r="B19" s="8"/>
      <c r="C19" s="8"/>
      <c r="D19" s="8"/>
      <c r="E19" s="8"/>
      <c r="F19" s="7">
        <f>D17</f>
        <v>1600</v>
      </c>
    </row>
    <row r="20" spans="1:6" x14ac:dyDescent="0.2">
      <c r="A20" s="11" t="s">
        <v>24</v>
      </c>
      <c r="B20" s="10"/>
      <c r="C20" s="10"/>
      <c r="D20" s="10"/>
      <c r="E20" s="10"/>
      <c r="F20" s="10"/>
    </row>
    <row r="21" spans="1:6" x14ac:dyDescent="0.2">
      <c r="A21" s="6" t="s">
        <v>29</v>
      </c>
      <c r="B21" s="8"/>
      <c r="C21" s="8"/>
      <c r="D21" s="8"/>
      <c r="E21" s="8"/>
      <c r="F21" s="7">
        <v>8000</v>
      </c>
    </row>
    <row r="22" spans="1:6" x14ac:dyDescent="0.2">
      <c r="A22" s="6" t="s">
        <v>44</v>
      </c>
      <c r="B22" s="7">
        <v>2500</v>
      </c>
      <c r="C22" s="7">
        <f t="shared" ref="C22:F23" si="1">B22*(1+$H$1)</f>
        <v>2750</v>
      </c>
      <c r="D22" s="7">
        <f t="shared" si="1"/>
        <v>3025.0000000000005</v>
      </c>
      <c r="E22" s="7">
        <f t="shared" si="1"/>
        <v>3327.5000000000009</v>
      </c>
      <c r="F22" s="7">
        <f t="shared" si="1"/>
        <v>3660.2500000000014</v>
      </c>
    </row>
    <row r="23" spans="1:6" x14ac:dyDescent="0.2">
      <c r="A23" s="1" t="s">
        <v>25</v>
      </c>
      <c r="B23" s="7">
        <v>2000</v>
      </c>
      <c r="C23" s="7">
        <f t="shared" si="1"/>
        <v>2200</v>
      </c>
      <c r="D23" s="7">
        <f t="shared" si="1"/>
        <v>2420</v>
      </c>
      <c r="E23" s="7">
        <f t="shared" si="1"/>
        <v>2662</v>
      </c>
      <c r="F23" s="7">
        <f t="shared" si="1"/>
        <v>2928.2000000000003</v>
      </c>
    </row>
    <row r="24" spans="1:6" x14ac:dyDescent="0.2">
      <c r="A24" s="1" t="s">
        <v>26</v>
      </c>
      <c r="B24" s="8"/>
      <c r="C24" s="8"/>
      <c r="D24" s="7">
        <f>B23</f>
        <v>2000</v>
      </c>
      <c r="E24" s="7">
        <f>D24*(1+$H$1)</f>
        <v>2200</v>
      </c>
      <c r="F24" s="7">
        <f>E24*(1+$H$1)</f>
        <v>2420</v>
      </c>
    </row>
    <row r="25" spans="1:6" x14ac:dyDescent="0.2">
      <c r="A25" s="1" t="s">
        <v>27</v>
      </c>
      <c r="B25" s="8"/>
      <c r="C25" s="8"/>
      <c r="D25" s="7">
        <f>B23</f>
        <v>2000</v>
      </c>
      <c r="E25" s="7">
        <f>D25*(1+$H$1)</f>
        <v>2200</v>
      </c>
      <c r="F25" s="7">
        <f>E25*(1+$H$1)</f>
        <v>2420</v>
      </c>
    </row>
    <row r="26" spans="1:6" x14ac:dyDescent="0.2">
      <c r="A26" s="1" t="s">
        <v>28</v>
      </c>
      <c r="B26" s="8"/>
      <c r="C26" s="8"/>
      <c r="D26" s="8"/>
      <c r="E26" s="8"/>
      <c r="F26" s="7">
        <f>D25</f>
        <v>2000</v>
      </c>
    </row>
    <row r="27" spans="1:6" x14ac:dyDescent="0.2">
      <c r="A27" s="11" t="s">
        <v>31</v>
      </c>
      <c r="B27" s="12"/>
      <c r="C27" s="12"/>
      <c r="D27" s="12"/>
      <c r="E27" s="12"/>
      <c r="F27" s="12"/>
    </row>
    <row r="28" spans="1:6" x14ac:dyDescent="0.2">
      <c r="A28" s="6" t="s">
        <v>42</v>
      </c>
      <c r="B28" s="8"/>
      <c r="C28" s="8"/>
      <c r="D28" s="8"/>
      <c r="E28" s="8"/>
      <c r="F28" s="7">
        <v>8000</v>
      </c>
    </row>
    <row r="29" spans="1:6" x14ac:dyDescent="0.2">
      <c r="A29" s="6" t="s">
        <v>48</v>
      </c>
      <c r="B29" s="7">
        <v>3500</v>
      </c>
      <c r="C29" s="7">
        <f t="shared" ref="C29:F33" si="2">B29*(1+$H$1)</f>
        <v>3850.0000000000005</v>
      </c>
      <c r="D29" s="7">
        <f t="shared" si="2"/>
        <v>4235.0000000000009</v>
      </c>
      <c r="E29" s="7">
        <f t="shared" si="2"/>
        <v>4658.5000000000018</v>
      </c>
      <c r="F29" s="7">
        <f t="shared" si="2"/>
        <v>5124.3500000000022</v>
      </c>
    </row>
    <row r="30" spans="1:6" x14ac:dyDescent="0.2">
      <c r="A30" s="1" t="s">
        <v>32</v>
      </c>
      <c r="B30" s="7">
        <v>3000</v>
      </c>
      <c r="C30" s="7">
        <f t="shared" si="2"/>
        <v>3300.0000000000005</v>
      </c>
      <c r="D30" s="7">
        <f t="shared" si="2"/>
        <v>3630.0000000000009</v>
      </c>
      <c r="E30" s="7">
        <f t="shared" si="2"/>
        <v>3993.0000000000014</v>
      </c>
      <c r="F30" s="7">
        <f t="shared" si="2"/>
        <v>4392.300000000002</v>
      </c>
    </row>
    <row r="31" spans="1:6" x14ac:dyDescent="0.2">
      <c r="A31" s="1" t="s">
        <v>33</v>
      </c>
      <c r="B31" s="7">
        <v>2600</v>
      </c>
      <c r="C31" s="7">
        <f t="shared" si="2"/>
        <v>2860.0000000000005</v>
      </c>
      <c r="D31" s="7">
        <f t="shared" si="2"/>
        <v>3146.0000000000009</v>
      </c>
      <c r="E31" s="7">
        <f t="shared" si="2"/>
        <v>3460.6000000000013</v>
      </c>
      <c r="F31" s="7">
        <f t="shared" si="2"/>
        <v>3806.6600000000017</v>
      </c>
    </row>
    <row r="32" spans="1:6" x14ac:dyDescent="0.2">
      <c r="A32" s="1" t="s">
        <v>34</v>
      </c>
      <c r="B32" s="7">
        <v>2200</v>
      </c>
      <c r="C32" s="7">
        <f t="shared" si="2"/>
        <v>2420</v>
      </c>
      <c r="D32" s="7">
        <f t="shared" si="2"/>
        <v>2662</v>
      </c>
      <c r="E32" s="7">
        <f t="shared" si="2"/>
        <v>2928.2000000000003</v>
      </c>
      <c r="F32" s="7">
        <f t="shared" si="2"/>
        <v>3221.0200000000004</v>
      </c>
    </row>
    <row r="33" spans="1:8" x14ac:dyDescent="0.2">
      <c r="A33" s="1" t="s">
        <v>35</v>
      </c>
      <c r="B33" s="7">
        <v>2200</v>
      </c>
      <c r="C33" s="7">
        <f t="shared" si="2"/>
        <v>2420</v>
      </c>
      <c r="D33" s="7">
        <f t="shared" si="2"/>
        <v>2662</v>
      </c>
      <c r="E33" s="7">
        <f t="shared" si="2"/>
        <v>2928.2000000000003</v>
      </c>
      <c r="F33" s="7">
        <f t="shared" si="2"/>
        <v>3221.0200000000004</v>
      </c>
    </row>
    <row r="34" spans="1:8" x14ac:dyDescent="0.2">
      <c r="A34" s="1" t="s">
        <v>36</v>
      </c>
      <c r="B34" s="8"/>
      <c r="C34" s="8"/>
      <c r="D34" s="7">
        <f>D33</f>
        <v>2662</v>
      </c>
      <c r="E34" s="7">
        <f t="shared" ref="E34:F37" si="3">D34*(1+$H$1)</f>
        <v>2928.2000000000003</v>
      </c>
      <c r="F34" s="7">
        <f t="shared" si="3"/>
        <v>3221.0200000000004</v>
      </c>
    </row>
    <row r="35" spans="1:8" x14ac:dyDescent="0.2">
      <c r="A35" s="1" t="s">
        <v>37</v>
      </c>
      <c r="B35" s="8"/>
      <c r="C35" s="8"/>
      <c r="D35" s="8"/>
      <c r="E35" s="8"/>
      <c r="F35" s="7">
        <f>F30</f>
        <v>4392.300000000002</v>
      </c>
    </row>
    <row r="36" spans="1:8" x14ac:dyDescent="0.2">
      <c r="A36" s="1" t="s">
        <v>34</v>
      </c>
      <c r="B36" s="8"/>
      <c r="C36" s="7">
        <v>2420</v>
      </c>
      <c r="D36" s="7">
        <f t="shared" ref="D36" si="4">C36*(1+$H$1)</f>
        <v>2662</v>
      </c>
      <c r="E36" s="7">
        <f t="shared" si="3"/>
        <v>2928.2000000000003</v>
      </c>
      <c r="F36" s="7">
        <f t="shared" si="3"/>
        <v>3221.0200000000004</v>
      </c>
    </row>
    <row r="37" spans="1:8" x14ac:dyDescent="0.2">
      <c r="A37" s="1" t="s">
        <v>35</v>
      </c>
      <c r="B37" s="8"/>
      <c r="C37" s="8"/>
      <c r="D37" s="7">
        <f>D36</f>
        <v>2662</v>
      </c>
      <c r="E37" s="7">
        <f t="shared" si="3"/>
        <v>2928.2000000000003</v>
      </c>
      <c r="F37" s="7">
        <f t="shared" si="3"/>
        <v>3221.0200000000004</v>
      </c>
    </row>
    <row r="38" spans="1:8" x14ac:dyDescent="0.2">
      <c r="A38" s="1" t="s">
        <v>38</v>
      </c>
      <c r="B38" s="8"/>
      <c r="C38" s="8"/>
      <c r="D38" s="8"/>
      <c r="E38" s="8"/>
      <c r="F38" s="7">
        <f>F37</f>
        <v>3221.0200000000004</v>
      </c>
    </row>
    <row r="39" spans="1:8" x14ac:dyDescent="0.2">
      <c r="A39" s="11" t="s">
        <v>39</v>
      </c>
      <c r="B39" s="10"/>
      <c r="C39" s="10"/>
      <c r="D39" s="10"/>
      <c r="E39" s="10"/>
      <c r="F39" s="10"/>
    </row>
    <row r="40" spans="1:8" x14ac:dyDescent="0.2">
      <c r="A40" s="1" t="s">
        <v>41</v>
      </c>
      <c r="B40" s="8"/>
      <c r="C40" s="8"/>
      <c r="D40" s="8"/>
      <c r="E40" s="8"/>
      <c r="F40" s="7">
        <v>8000</v>
      </c>
    </row>
    <row r="41" spans="1:8" x14ac:dyDescent="0.2">
      <c r="A41" s="1" t="s">
        <v>47</v>
      </c>
      <c r="B41" s="8"/>
      <c r="C41" s="8"/>
      <c r="D41" s="7">
        <v>3500</v>
      </c>
      <c r="E41" s="7">
        <f>D41*(1+$H$1)</f>
        <v>3850.0000000000005</v>
      </c>
      <c r="F41" s="7">
        <f>E41*(1+$H$1)</f>
        <v>4235.0000000000009</v>
      </c>
    </row>
    <row r="42" spans="1:8" x14ac:dyDescent="0.2">
      <c r="A42" s="1" t="s">
        <v>40</v>
      </c>
      <c r="B42" s="8"/>
      <c r="C42" s="8"/>
      <c r="D42" s="8"/>
      <c r="E42" s="8"/>
      <c r="F42" s="7">
        <v>3000</v>
      </c>
    </row>
    <row r="43" spans="1:8" x14ac:dyDescent="0.2">
      <c r="A43" s="1" t="s">
        <v>43</v>
      </c>
      <c r="B43" s="8"/>
      <c r="C43" s="8"/>
      <c r="D43" s="7">
        <v>2500</v>
      </c>
      <c r="E43" s="7">
        <f>D43*(1+$H$1)</f>
        <v>2750</v>
      </c>
      <c r="F43" s="7">
        <f>E43*(1+$H$1)</f>
        <v>3025.0000000000005</v>
      </c>
    </row>
    <row r="44" spans="1:8" x14ac:dyDescent="0.2">
      <c r="A44" s="13" t="s">
        <v>5</v>
      </c>
      <c r="B44" s="14">
        <f>SUM(B4:B43)</f>
        <v>30950</v>
      </c>
      <c r="C44" s="14">
        <f t="shared" ref="C44:F44" si="5">SUM(C4:C43)</f>
        <v>36465</v>
      </c>
      <c r="D44" s="14">
        <f t="shared" si="5"/>
        <v>60835.500000000007</v>
      </c>
      <c r="E44" s="14">
        <f t="shared" si="5"/>
        <v>67698.299999999988</v>
      </c>
      <c r="F44" s="14">
        <f t="shared" si="5"/>
        <v>132594.92500000005</v>
      </c>
    </row>
    <row r="47" spans="1:8" ht="15" x14ac:dyDescent="0.25">
      <c r="A47" s="66" t="s">
        <v>12</v>
      </c>
      <c r="B47" s="66"/>
      <c r="C47" s="66"/>
      <c r="D47" s="66"/>
      <c r="E47" s="66"/>
      <c r="F47" s="66"/>
      <c r="G47" s="1" t="s">
        <v>50</v>
      </c>
      <c r="H47" s="9">
        <v>0.7</v>
      </c>
    </row>
    <row r="48" spans="1:8" ht="15" x14ac:dyDescent="0.25">
      <c r="A48" s="5"/>
      <c r="B48" s="5" t="s">
        <v>7</v>
      </c>
      <c r="C48" s="5" t="s">
        <v>8</v>
      </c>
      <c r="D48" s="5" t="s">
        <v>9</v>
      </c>
      <c r="E48" s="5" t="s">
        <v>10</v>
      </c>
      <c r="F48" s="5" t="s">
        <v>11</v>
      </c>
    </row>
    <row r="49" spans="1:6" x14ac:dyDescent="0.2">
      <c r="A49" s="1" t="s">
        <v>13</v>
      </c>
      <c r="B49" s="7">
        <f>B4</f>
        <v>6000</v>
      </c>
      <c r="C49" s="7">
        <f t="shared" ref="C49:F49" si="6">C4</f>
        <v>6600.0000000000009</v>
      </c>
      <c r="D49" s="7">
        <f t="shared" si="6"/>
        <v>7260.0000000000018</v>
      </c>
      <c r="E49" s="7">
        <f t="shared" si="6"/>
        <v>7986.0000000000027</v>
      </c>
      <c r="F49" s="7">
        <f t="shared" si="6"/>
        <v>10000</v>
      </c>
    </row>
    <row r="50" spans="1:6" x14ac:dyDescent="0.2">
      <c r="A50" s="11" t="s">
        <v>17</v>
      </c>
      <c r="B50" s="10"/>
      <c r="C50" s="10"/>
      <c r="D50" s="10"/>
      <c r="E50" s="10"/>
      <c r="F50" s="10"/>
    </row>
    <row r="51" spans="1:6" x14ac:dyDescent="0.2">
      <c r="A51" s="1" t="s">
        <v>15</v>
      </c>
      <c r="B51" s="8"/>
      <c r="C51" s="8"/>
      <c r="D51" s="8"/>
      <c r="E51" s="8"/>
      <c r="F51" s="7">
        <f>F6*(1+$H$47)</f>
        <v>13600</v>
      </c>
    </row>
    <row r="52" spans="1:6" x14ac:dyDescent="0.2">
      <c r="A52" s="1" t="s">
        <v>30</v>
      </c>
      <c r="B52" s="7">
        <f>B7*(1+$H$47)</f>
        <v>4250</v>
      </c>
      <c r="C52" s="7">
        <f t="shared" ref="C52:F52" si="7">C7*(1+$H$47)</f>
        <v>4675</v>
      </c>
      <c r="D52" s="7">
        <f t="shared" si="7"/>
        <v>5142.5000000000009</v>
      </c>
      <c r="E52" s="7">
        <f t="shared" si="7"/>
        <v>5656.7500000000018</v>
      </c>
      <c r="F52" s="7">
        <f t="shared" si="7"/>
        <v>6222.425000000002</v>
      </c>
    </row>
    <row r="53" spans="1:6" x14ac:dyDescent="0.2">
      <c r="A53" s="1" t="s">
        <v>16</v>
      </c>
      <c r="B53" s="8"/>
      <c r="C53" s="8"/>
      <c r="D53" s="7">
        <f t="shared" ref="D53:F55" si="8">D8*(1+$H$47)</f>
        <v>3740</v>
      </c>
      <c r="E53" s="7">
        <f t="shared" si="8"/>
        <v>3741.7</v>
      </c>
      <c r="F53" s="7">
        <f t="shared" si="8"/>
        <v>4115.8700000000008</v>
      </c>
    </row>
    <row r="54" spans="1:6" x14ac:dyDescent="0.2">
      <c r="A54" s="1" t="s">
        <v>14</v>
      </c>
      <c r="B54" s="7">
        <f>B9*(1+$H$47)</f>
        <v>2040</v>
      </c>
      <c r="C54" s="7">
        <f>C9*(1+$H$47)</f>
        <v>2244</v>
      </c>
      <c r="D54" s="7">
        <f t="shared" si="8"/>
        <v>2468.4000000000005</v>
      </c>
      <c r="E54" s="7">
        <f t="shared" si="8"/>
        <v>2715.2400000000002</v>
      </c>
      <c r="F54" s="7">
        <f t="shared" si="8"/>
        <v>2986.764000000001</v>
      </c>
    </row>
    <row r="55" spans="1:6" x14ac:dyDescent="0.2">
      <c r="A55" s="1" t="s">
        <v>69</v>
      </c>
      <c r="B55" s="7">
        <f>B10*(1+$H$47)</f>
        <v>1275</v>
      </c>
      <c r="C55" s="7">
        <f>C10*(1+$H$47)</f>
        <v>1402.5000000000002</v>
      </c>
      <c r="D55" s="7">
        <f t="shared" si="8"/>
        <v>1542.7500000000005</v>
      </c>
      <c r="E55" s="7">
        <f t="shared" si="8"/>
        <v>1697.0250000000005</v>
      </c>
      <c r="F55" s="7">
        <f t="shared" si="8"/>
        <v>1866.7275000000009</v>
      </c>
    </row>
    <row r="56" spans="1:6" x14ac:dyDescent="0.2">
      <c r="A56" s="1" t="s">
        <v>70</v>
      </c>
      <c r="B56" s="8"/>
      <c r="C56" s="8"/>
      <c r="D56" s="8"/>
      <c r="E56" s="7">
        <f t="shared" ref="E56:F56" si="9">E11*(1+$H$47)</f>
        <v>1697.0250000000005</v>
      </c>
      <c r="F56" s="7">
        <f t="shared" si="9"/>
        <v>1866.7275000000009</v>
      </c>
    </row>
    <row r="57" spans="1:6" x14ac:dyDescent="0.2">
      <c r="A57" s="1" t="s">
        <v>71</v>
      </c>
      <c r="B57" s="8"/>
      <c r="C57" s="8"/>
      <c r="D57" s="8"/>
      <c r="E57" s="8"/>
      <c r="F57" s="7">
        <f t="shared" ref="F57" si="10">F12*(1+$H$47)</f>
        <v>1866.7275000000009</v>
      </c>
    </row>
    <row r="58" spans="1:6" x14ac:dyDescent="0.2">
      <c r="A58" s="11" t="s">
        <v>18</v>
      </c>
      <c r="B58" s="10"/>
      <c r="C58" s="10"/>
      <c r="D58" s="10"/>
      <c r="E58" s="10"/>
      <c r="F58" s="10"/>
    </row>
    <row r="59" spans="1:6" x14ac:dyDescent="0.2">
      <c r="A59" s="1" t="s">
        <v>19</v>
      </c>
      <c r="B59" s="8"/>
      <c r="C59" s="8"/>
      <c r="D59" s="8"/>
      <c r="E59" s="8"/>
      <c r="F59" s="7">
        <f t="shared" ref="F59:F64" si="11">F14*(1+$H$47)</f>
        <v>13600</v>
      </c>
    </row>
    <row r="60" spans="1:6" x14ac:dyDescent="0.2">
      <c r="A60" s="1" t="s">
        <v>45</v>
      </c>
      <c r="B60" s="7">
        <f>B15*(1+$H$47)</f>
        <v>4250</v>
      </c>
      <c r="C60" s="7">
        <f>C15*(1+$H$47)</f>
        <v>4675</v>
      </c>
      <c r="D60" s="7">
        <f>D15*(1+$H$47)</f>
        <v>5142.5000000000009</v>
      </c>
      <c r="E60" s="7">
        <f>E15*(1+$H$47)</f>
        <v>5656.7500000000018</v>
      </c>
      <c r="F60" s="7">
        <f t="shared" si="11"/>
        <v>6222.425000000002</v>
      </c>
    </row>
    <row r="61" spans="1:6" x14ac:dyDescent="0.2">
      <c r="A61" s="1" t="s">
        <v>20</v>
      </c>
      <c r="B61" s="8"/>
      <c r="C61" s="8"/>
      <c r="D61" s="7">
        <f>D16*(1+$H$47)</f>
        <v>2720</v>
      </c>
      <c r="E61" s="7">
        <f>E16*(1+$H$47)</f>
        <v>2992.0000000000005</v>
      </c>
      <c r="F61" s="7">
        <f t="shared" si="11"/>
        <v>3291.2000000000007</v>
      </c>
    </row>
    <row r="62" spans="1:6" x14ac:dyDescent="0.2">
      <c r="A62" s="1" t="s">
        <v>21</v>
      </c>
      <c r="B62" s="8"/>
      <c r="C62" s="8"/>
      <c r="D62" s="7">
        <f>D17*(1+$H$47)</f>
        <v>2720</v>
      </c>
      <c r="E62" s="7">
        <f>E17*(1+$H$47)</f>
        <v>2992.0000000000005</v>
      </c>
      <c r="F62" s="7">
        <f t="shared" si="11"/>
        <v>3291.2000000000007</v>
      </c>
    </row>
    <row r="63" spans="1:6" x14ac:dyDescent="0.2">
      <c r="A63" s="1" t="s">
        <v>22</v>
      </c>
      <c r="B63" s="8"/>
      <c r="C63" s="8"/>
      <c r="D63" s="8"/>
      <c r="E63" s="8"/>
      <c r="F63" s="7">
        <f t="shared" si="11"/>
        <v>2720</v>
      </c>
    </row>
    <row r="64" spans="1:6" x14ac:dyDescent="0.2">
      <c r="A64" s="1" t="s">
        <v>23</v>
      </c>
      <c r="B64" s="8"/>
      <c r="C64" s="8"/>
      <c r="D64" s="8"/>
      <c r="E64" s="8"/>
      <c r="F64" s="7">
        <f t="shared" si="11"/>
        <v>2720</v>
      </c>
    </row>
    <row r="65" spans="1:6" x14ac:dyDescent="0.2">
      <c r="A65" s="11" t="s">
        <v>24</v>
      </c>
      <c r="B65" s="10"/>
      <c r="C65" s="10"/>
      <c r="D65" s="10"/>
      <c r="E65" s="10"/>
      <c r="F65" s="10"/>
    </row>
    <row r="66" spans="1:6" x14ac:dyDescent="0.2">
      <c r="A66" s="6" t="s">
        <v>29</v>
      </c>
      <c r="B66" s="8"/>
      <c r="C66" s="8"/>
      <c r="D66" s="8"/>
      <c r="E66" s="8"/>
      <c r="F66" s="7">
        <f t="shared" ref="F66:F71" si="12">F21*(1+$H$47)</f>
        <v>13600</v>
      </c>
    </row>
    <row r="67" spans="1:6" x14ac:dyDescent="0.2">
      <c r="A67" s="6" t="s">
        <v>44</v>
      </c>
      <c r="B67" s="7">
        <f t="shared" ref="B67:E68" si="13">B22*(1+$H$47)</f>
        <v>4250</v>
      </c>
      <c r="C67" s="7">
        <f t="shared" si="13"/>
        <v>4675</v>
      </c>
      <c r="D67" s="7">
        <f t="shared" si="13"/>
        <v>5142.5000000000009</v>
      </c>
      <c r="E67" s="7">
        <f t="shared" si="13"/>
        <v>5656.7500000000018</v>
      </c>
      <c r="F67" s="7">
        <f t="shared" si="12"/>
        <v>6222.425000000002</v>
      </c>
    </row>
    <row r="68" spans="1:6" x14ac:dyDescent="0.2">
      <c r="A68" s="1" t="s">
        <v>25</v>
      </c>
      <c r="B68" s="7">
        <f t="shared" si="13"/>
        <v>3400</v>
      </c>
      <c r="C68" s="7">
        <f t="shared" si="13"/>
        <v>3740</v>
      </c>
      <c r="D68" s="7">
        <f t="shared" si="13"/>
        <v>4114</v>
      </c>
      <c r="E68" s="7">
        <f t="shared" si="13"/>
        <v>4525.3999999999996</v>
      </c>
      <c r="F68" s="7">
        <f t="shared" si="12"/>
        <v>4977.9400000000005</v>
      </c>
    </row>
    <row r="69" spans="1:6" x14ac:dyDescent="0.2">
      <c r="A69" s="1" t="s">
        <v>26</v>
      </c>
      <c r="B69" s="8"/>
      <c r="C69" s="8"/>
      <c r="D69" s="7">
        <f>D24*(1+$H$47)</f>
        <v>3400</v>
      </c>
      <c r="E69" s="7">
        <f>E24*(1+$H$47)</f>
        <v>3740</v>
      </c>
      <c r="F69" s="7">
        <f t="shared" si="12"/>
        <v>4114</v>
      </c>
    </row>
    <row r="70" spans="1:6" x14ac:dyDescent="0.2">
      <c r="A70" s="1" t="s">
        <v>27</v>
      </c>
      <c r="B70" s="8"/>
      <c r="C70" s="8"/>
      <c r="D70" s="7">
        <f>D25*(1+$H$47)</f>
        <v>3400</v>
      </c>
      <c r="E70" s="7">
        <f>E25*(1+$H$47)</f>
        <v>3740</v>
      </c>
      <c r="F70" s="7">
        <f t="shared" si="12"/>
        <v>4114</v>
      </c>
    </row>
    <row r="71" spans="1:6" x14ac:dyDescent="0.2">
      <c r="A71" s="1" t="s">
        <v>28</v>
      </c>
      <c r="B71" s="8"/>
      <c r="C71" s="8"/>
      <c r="D71" s="8"/>
      <c r="E71" s="8"/>
      <c r="F71" s="7">
        <f t="shared" si="12"/>
        <v>3400</v>
      </c>
    </row>
    <row r="72" spans="1:6" x14ac:dyDescent="0.2">
      <c r="A72" s="11" t="s">
        <v>31</v>
      </c>
      <c r="B72" s="12"/>
      <c r="C72" s="12"/>
      <c r="D72" s="12"/>
      <c r="E72" s="12"/>
      <c r="F72" s="12"/>
    </row>
    <row r="73" spans="1:6" x14ac:dyDescent="0.2">
      <c r="A73" s="6" t="s">
        <v>42</v>
      </c>
      <c r="B73" s="8"/>
      <c r="C73" s="8"/>
      <c r="D73" s="8"/>
      <c r="E73" s="8"/>
      <c r="F73" s="7">
        <f t="shared" ref="F73:F83" si="14">F28*(1+$H$47)</f>
        <v>13600</v>
      </c>
    </row>
    <row r="74" spans="1:6" x14ac:dyDescent="0.2">
      <c r="A74" s="6" t="s">
        <v>48</v>
      </c>
      <c r="B74" s="7">
        <f t="shared" ref="B74:E78" si="15">B29*(1+$H$47)</f>
        <v>5950</v>
      </c>
      <c r="C74" s="7">
        <f t="shared" si="15"/>
        <v>6545.0000000000009</v>
      </c>
      <c r="D74" s="7">
        <f t="shared" si="15"/>
        <v>7199.5000000000009</v>
      </c>
      <c r="E74" s="7">
        <f t="shared" si="15"/>
        <v>7919.4500000000025</v>
      </c>
      <c r="F74" s="7">
        <f t="shared" si="14"/>
        <v>8711.3950000000041</v>
      </c>
    </row>
    <row r="75" spans="1:6" x14ac:dyDescent="0.2">
      <c r="A75" s="1" t="s">
        <v>32</v>
      </c>
      <c r="B75" s="7">
        <f t="shared" si="15"/>
        <v>5100</v>
      </c>
      <c r="C75" s="7">
        <f t="shared" si="15"/>
        <v>5610.0000000000009</v>
      </c>
      <c r="D75" s="7">
        <f t="shared" si="15"/>
        <v>6171.0000000000018</v>
      </c>
      <c r="E75" s="7">
        <f t="shared" si="15"/>
        <v>6788.1000000000022</v>
      </c>
      <c r="F75" s="7">
        <f t="shared" si="14"/>
        <v>7466.9100000000035</v>
      </c>
    </row>
    <row r="76" spans="1:6" x14ac:dyDescent="0.2">
      <c r="A76" s="1" t="s">
        <v>33</v>
      </c>
      <c r="B76" s="7">
        <f t="shared" si="15"/>
        <v>4420</v>
      </c>
      <c r="C76" s="7">
        <f t="shared" si="15"/>
        <v>4862.0000000000009</v>
      </c>
      <c r="D76" s="7">
        <f t="shared" si="15"/>
        <v>5348.2000000000016</v>
      </c>
      <c r="E76" s="7">
        <f t="shared" si="15"/>
        <v>5883.0200000000023</v>
      </c>
      <c r="F76" s="7">
        <f t="shared" si="14"/>
        <v>6471.3220000000028</v>
      </c>
    </row>
    <row r="77" spans="1:6" x14ac:dyDescent="0.2">
      <c r="A77" s="1" t="s">
        <v>34</v>
      </c>
      <c r="B77" s="7">
        <f t="shared" si="15"/>
        <v>3740</v>
      </c>
      <c r="C77" s="7">
        <f t="shared" si="15"/>
        <v>4114</v>
      </c>
      <c r="D77" s="7">
        <f t="shared" si="15"/>
        <v>4525.3999999999996</v>
      </c>
      <c r="E77" s="7">
        <f t="shared" si="15"/>
        <v>4977.9400000000005</v>
      </c>
      <c r="F77" s="7">
        <f t="shared" si="14"/>
        <v>5475.7340000000004</v>
      </c>
    </row>
    <row r="78" spans="1:6" x14ac:dyDescent="0.2">
      <c r="A78" s="1" t="s">
        <v>35</v>
      </c>
      <c r="B78" s="7">
        <f t="shared" si="15"/>
        <v>3740</v>
      </c>
      <c r="C78" s="7">
        <f t="shared" si="15"/>
        <v>4114</v>
      </c>
      <c r="D78" s="7">
        <f t="shared" si="15"/>
        <v>4525.3999999999996</v>
      </c>
      <c r="E78" s="7">
        <f t="shared" si="15"/>
        <v>4977.9400000000005</v>
      </c>
      <c r="F78" s="7">
        <f t="shared" si="14"/>
        <v>5475.7340000000004</v>
      </c>
    </row>
    <row r="79" spans="1:6" x14ac:dyDescent="0.2">
      <c r="A79" s="1" t="s">
        <v>36</v>
      </c>
      <c r="B79" s="8"/>
      <c r="C79" s="8"/>
      <c r="D79" s="7">
        <f t="shared" ref="D79:E82" si="16">D34*(1+$H$47)</f>
        <v>4525.3999999999996</v>
      </c>
      <c r="E79" s="7">
        <f t="shared" si="16"/>
        <v>4977.9400000000005</v>
      </c>
      <c r="F79" s="7">
        <f t="shared" si="14"/>
        <v>5475.7340000000004</v>
      </c>
    </row>
    <row r="80" spans="1:6" x14ac:dyDescent="0.2">
      <c r="A80" s="1" t="s">
        <v>37</v>
      </c>
      <c r="B80" s="8"/>
      <c r="C80" s="8"/>
      <c r="D80" s="8"/>
      <c r="E80" s="8"/>
      <c r="F80" s="7">
        <f t="shared" si="14"/>
        <v>7466.9100000000035</v>
      </c>
    </row>
    <row r="81" spans="1:6" x14ac:dyDescent="0.2">
      <c r="A81" s="1" t="s">
        <v>34</v>
      </c>
      <c r="B81" s="8"/>
      <c r="C81" s="7">
        <f>C36*(1+$H$47)</f>
        <v>4114</v>
      </c>
      <c r="D81" s="7">
        <f t="shared" si="16"/>
        <v>4525.3999999999996</v>
      </c>
      <c r="E81" s="7">
        <f t="shared" si="16"/>
        <v>4977.9400000000005</v>
      </c>
      <c r="F81" s="7">
        <f t="shared" si="14"/>
        <v>5475.7340000000004</v>
      </c>
    </row>
    <row r="82" spans="1:6" x14ac:dyDescent="0.2">
      <c r="A82" s="1" t="s">
        <v>35</v>
      </c>
      <c r="B82" s="8"/>
      <c r="C82" s="8"/>
      <c r="D82" s="7">
        <f t="shared" si="16"/>
        <v>4525.3999999999996</v>
      </c>
      <c r="E82" s="7">
        <f t="shared" si="16"/>
        <v>4977.9400000000005</v>
      </c>
      <c r="F82" s="7">
        <f t="shared" si="14"/>
        <v>5475.7340000000004</v>
      </c>
    </row>
    <row r="83" spans="1:6" x14ac:dyDescent="0.2">
      <c r="A83" s="1" t="s">
        <v>38</v>
      </c>
      <c r="B83" s="8"/>
      <c r="C83" s="8"/>
      <c r="D83" s="8"/>
      <c r="E83" s="8"/>
      <c r="F83" s="7">
        <f t="shared" si="14"/>
        <v>5475.7340000000004</v>
      </c>
    </row>
    <row r="84" spans="1:6" x14ac:dyDescent="0.2">
      <c r="A84" s="11" t="s">
        <v>39</v>
      </c>
      <c r="B84" s="10"/>
      <c r="C84" s="10"/>
      <c r="D84" s="10"/>
      <c r="E84" s="10"/>
      <c r="F84" s="10"/>
    </row>
    <row r="85" spans="1:6" x14ac:dyDescent="0.2">
      <c r="A85" s="1" t="s">
        <v>41</v>
      </c>
      <c r="B85" s="8"/>
      <c r="C85" s="8"/>
      <c r="D85" s="8"/>
      <c r="E85" s="8"/>
      <c r="F85" s="7">
        <f>F40*(1+$H$47)</f>
        <v>13600</v>
      </c>
    </row>
    <row r="86" spans="1:6" x14ac:dyDescent="0.2">
      <c r="A86" s="1" t="s">
        <v>47</v>
      </c>
      <c r="B86" s="8"/>
      <c r="C86" s="8"/>
      <c r="D86" s="7">
        <f>D41*(1+$H$47)</f>
        <v>5950</v>
      </c>
      <c r="E86" s="7">
        <f>E41*(1+$H$47)</f>
        <v>6545.0000000000009</v>
      </c>
      <c r="F86" s="7">
        <f>F41*(1+$H$47)</f>
        <v>7199.5000000000009</v>
      </c>
    </row>
    <row r="87" spans="1:6" x14ac:dyDescent="0.2">
      <c r="A87" s="1" t="s">
        <v>40</v>
      </c>
      <c r="B87" s="8"/>
      <c r="C87" s="8"/>
      <c r="D87" s="8"/>
      <c r="E87" s="8"/>
      <c r="F87" s="7">
        <f>F42*(1+$H$47)</f>
        <v>5100</v>
      </c>
    </row>
    <row r="88" spans="1:6" x14ac:dyDescent="0.2">
      <c r="A88" s="1" t="s">
        <v>43</v>
      </c>
      <c r="B88" s="8"/>
      <c r="C88" s="8"/>
      <c r="D88" s="7">
        <f>D43*(1+$H$47)</f>
        <v>4250</v>
      </c>
      <c r="E88" s="7">
        <f>E43*(1+$H$47)</f>
        <v>4675</v>
      </c>
      <c r="F88" s="7">
        <f>F43*(1+$H$47)</f>
        <v>5142.5000000000009</v>
      </c>
    </row>
    <row r="89" spans="1:6" x14ac:dyDescent="0.2">
      <c r="A89" s="13" t="s">
        <v>5</v>
      </c>
      <c r="B89" s="14">
        <f>SUM(B49:B88)</f>
        <v>48415</v>
      </c>
      <c r="C89" s="14">
        <f t="shared" ref="C89:F89" si="17">SUM(C49:C88)</f>
        <v>57370.5</v>
      </c>
      <c r="D89" s="14">
        <f t="shared" si="17"/>
        <v>98338.349999999991</v>
      </c>
      <c r="E89" s="14">
        <f t="shared" si="17"/>
        <v>109496.91000000003</v>
      </c>
      <c r="F89" s="14">
        <f t="shared" si="17"/>
        <v>218411.37250000003</v>
      </c>
    </row>
    <row r="92" spans="1:6" ht="15" x14ac:dyDescent="0.25">
      <c r="A92" s="66" t="s">
        <v>55</v>
      </c>
      <c r="B92" s="66"/>
      <c r="C92" s="66"/>
      <c r="D92" s="66"/>
      <c r="E92" s="66"/>
      <c r="F92" s="66"/>
    </row>
    <row r="93" spans="1:6" ht="15" x14ac:dyDescent="0.25">
      <c r="A93" s="5"/>
      <c r="B93" s="5" t="s">
        <v>7</v>
      </c>
      <c r="C93" s="5" t="s">
        <v>8</v>
      </c>
      <c r="D93" s="5" t="s">
        <v>9</v>
      </c>
      <c r="E93" s="5" t="s">
        <v>10</v>
      </c>
      <c r="F93" s="5" t="s">
        <v>11</v>
      </c>
    </row>
    <row r="94" spans="1:6" x14ac:dyDescent="0.2">
      <c r="A94" s="1" t="s">
        <v>13</v>
      </c>
      <c r="B94" s="7">
        <f>B49*12</f>
        <v>72000</v>
      </c>
      <c r="C94" s="7">
        <f t="shared" ref="C94:F94" si="18">C49*12</f>
        <v>79200.000000000015</v>
      </c>
      <c r="D94" s="7">
        <f t="shared" si="18"/>
        <v>87120.000000000029</v>
      </c>
      <c r="E94" s="7">
        <f t="shared" si="18"/>
        <v>95832.000000000029</v>
      </c>
      <c r="F94" s="7">
        <f t="shared" si="18"/>
        <v>120000</v>
      </c>
    </row>
    <row r="95" spans="1:6" x14ac:dyDescent="0.2">
      <c r="A95" s="11" t="s">
        <v>17</v>
      </c>
      <c r="B95" s="10"/>
      <c r="C95" s="10"/>
      <c r="D95" s="10"/>
      <c r="E95" s="10"/>
      <c r="F95" s="10"/>
    </row>
    <row r="96" spans="1:6" x14ac:dyDescent="0.2">
      <c r="A96" s="1" t="s">
        <v>15</v>
      </c>
      <c r="B96" s="8"/>
      <c r="C96" s="8"/>
      <c r="D96" s="8"/>
      <c r="E96" s="8"/>
      <c r="F96" s="7">
        <f t="shared" ref="F96" si="19">F51*12</f>
        <v>163200</v>
      </c>
    </row>
    <row r="97" spans="1:6" x14ac:dyDescent="0.2">
      <c r="A97" s="1" t="s">
        <v>30</v>
      </c>
      <c r="B97" s="7">
        <f t="shared" ref="B97:F97" si="20">B52*12</f>
        <v>51000</v>
      </c>
      <c r="C97" s="7">
        <f t="shared" si="20"/>
        <v>56100</v>
      </c>
      <c r="D97" s="7">
        <f t="shared" si="20"/>
        <v>61710.000000000015</v>
      </c>
      <c r="E97" s="7">
        <f t="shared" si="20"/>
        <v>67881.000000000029</v>
      </c>
      <c r="F97" s="7">
        <f t="shared" si="20"/>
        <v>74669.10000000002</v>
      </c>
    </row>
    <row r="98" spans="1:6" x14ac:dyDescent="0.2">
      <c r="A98" s="1" t="s">
        <v>16</v>
      </c>
      <c r="B98" s="8"/>
      <c r="C98" s="8"/>
      <c r="D98" s="7">
        <f t="shared" ref="D98:F98" si="21">D53*12</f>
        <v>44880</v>
      </c>
      <c r="E98" s="7">
        <f t="shared" si="21"/>
        <v>44900.399999999994</v>
      </c>
      <c r="F98" s="7">
        <f t="shared" si="21"/>
        <v>49390.44000000001</v>
      </c>
    </row>
    <row r="99" spans="1:6" x14ac:dyDescent="0.2">
      <c r="A99" s="1" t="s">
        <v>14</v>
      </c>
      <c r="B99" s="7">
        <f t="shared" ref="B99:F100" si="22">B54*12</f>
        <v>24480</v>
      </c>
      <c r="C99" s="7">
        <f t="shared" si="22"/>
        <v>26928</v>
      </c>
      <c r="D99" s="7">
        <f t="shared" si="22"/>
        <v>29620.800000000007</v>
      </c>
      <c r="E99" s="7">
        <f t="shared" si="22"/>
        <v>32582.880000000005</v>
      </c>
      <c r="F99" s="7">
        <f t="shared" si="22"/>
        <v>35841.168000000012</v>
      </c>
    </row>
    <row r="100" spans="1:6" x14ac:dyDescent="0.2">
      <c r="A100" s="1" t="s">
        <v>69</v>
      </c>
      <c r="B100" s="7">
        <f t="shared" si="22"/>
        <v>15300</v>
      </c>
      <c r="C100" s="7">
        <f t="shared" si="22"/>
        <v>16830.000000000004</v>
      </c>
      <c r="D100" s="7">
        <f t="shared" si="22"/>
        <v>18513.000000000007</v>
      </c>
      <c r="E100" s="7">
        <f t="shared" si="22"/>
        <v>20364.300000000007</v>
      </c>
      <c r="F100" s="7">
        <f t="shared" si="22"/>
        <v>22400.73000000001</v>
      </c>
    </row>
    <row r="101" spans="1:6" x14ac:dyDescent="0.2">
      <c r="A101" s="1" t="s">
        <v>70</v>
      </c>
      <c r="B101" s="8"/>
      <c r="C101" s="8"/>
      <c r="D101" s="8"/>
      <c r="E101" s="7">
        <f>E56*12</f>
        <v>20364.300000000007</v>
      </c>
      <c r="F101" s="7">
        <f>F56*12</f>
        <v>22400.73000000001</v>
      </c>
    </row>
    <row r="102" spans="1:6" x14ac:dyDescent="0.2">
      <c r="A102" s="1" t="s">
        <v>71</v>
      </c>
      <c r="B102" s="8"/>
      <c r="C102" s="8"/>
      <c r="D102" s="8"/>
      <c r="E102" s="8"/>
      <c r="F102" s="7">
        <f>F57*12</f>
        <v>22400.73000000001</v>
      </c>
    </row>
    <row r="103" spans="1:6" x14ac:dyDescent="0.2">
      <c r="A103" s="11" t="s">
        <v>18</v>
      </c>
      <c r="B103" s="10"/>
      <c r="C103" s="10"/>
      <c r="D103" s="10"/>
      <c r="E103" s="10"/>
      <c r="F103" s="10"/>
    </row>
    <row r="104" spans="1:6" x14ac:dyDescent="0.2">
      <c r="A104" s="1" t="s">
        <v>19</v>
      </c>
      <c r="B104" s="8"/>
      <c r="C104" s="8"/>
      <c r="D104" s="8"/>
      <c r="E104" s="8"/>
      <c r="F104" s="7">
        <f t="shared" ref="F104" si="23">F59*12</f>
        <v>163200</v>
      </c>
    </row>
    <row r="105" spans="1:6" x14ac:dyDescent="0.2">
      <c r="A105" s="1" t="s">
        <v>45</v>
      </c>
      <c r="B105" s="7">
        <f t="shared" ref="B105:F105" si="24">B60*12</f>
        <v>51000</v>
      </c>
      <c r="C105" s="7">
        <f t="shared" si="24"/>
        <v>56100</v>
      </c>
      <c r="D105" s="7">
        <f t="shared" si="24"/>
        <v>61710.000000000015</v>
      </c>
      <c r="E105" s="7">
        <f t="shared" si="24"/>
        <v>67881.000000000029</v>
      </c>
      <c r="F105" s="7">
        <f t="shared" si="24"/>
        <v>74669.10000000002</v>
      </c>
    </row>
    <row r="106" spans="1:6" x14ac:dyDescent="0.2">
      <c r="A106" s="1" t="s">
        <v>20</v>
      </c>
      <c r="B106" s="8"/>
      <c r="C106" s="8"/>
      <c r="D106" s="7">
        <f t="shared" ref="D106:F106" si="25">D61*12</f>
        <v>32640</v>
      </c>
      <c r="E106" s="7">
        <f t="shared" si="25"/>
        <v>35904.000000000007</v>
      </c>
      <c r="F106" s="7">
        <f t="shared" si="25"/>
        <v>39494.400000000009</v>
      </c>
    </row>
    <row r="107" spans="1:6" x14ac:dyDescent="0.2">
      <c r="A107" s="1" t="s">
        <v>21</v>
      </c>
      <c r="B107" s="8"/>
      <c r="C107" s="8"/>
      <c r="D107" s="7">
        <f t="shared" ref="D107:F107" si="26">D62*12</f>
        <v>32640</v>
      </c>
      <c r="E107" s="7">
        <f t="shared" si="26"/>
        <v>35904.000000000007</v>
      </c>
      <c r="F107" s="7">
        <f t="shared" si="26"/>
        <v>39494.400000000009</v>
      </c>
    </row>
    <row r="108" spans="1:6" x14ac:dyDescent="0.2">
      <c r="A108" s="1" t="s">
        <v>22</v>
      </c>
      <c r="B108" s="8"/>
      <c r="C108" s="8"/>
      <c r="D108" s="8"/>
      <c r="E108" s="8"/>
      <c r="F108" s="7">
        <f t="shared" ref="F108" si="27">F63*12</f>
        <v>32640</v>
      </c>
    </row>
    <row r="109" spans="1:6" x14ac:dyDescent="0.2">
      <c r="A109" s="1" t="s">
        <v>23</v>
      </c>
      <c r="B109" s="8"/>
      <c r="C109" s="8"/>
      <c r="D109" s="8"/>
      <c r="E109" s="8"/>
      <c r="F109" s="7">
        <f t="shared" ref="F109" si="28">F64*12</f>
        <v>32640</v>
      </c>
    </row>
    <row r="110" spans="1:6" x14ac:dyDescent="0.2">
      <c r="A110" s="11" t="s">
        <v>24</v>
      </c>
      <c r="B110" s="10"/>
      <c r="C110" s="10"/>
      <c r="D110" s="10"/>
      <c r="E110" s="10"/>
      <c r="F110" s="10"/>
    </row>
    <row r="111" spans="1:6" x14ac:dyDescent="0.2">
      <c r="A111" s="6" t="s">
        <v>29</v>
      </c>
      <c r="B111" s="8"/>
      <c r="C111" s="8"/>
      <c r="D111" s="8"/>
      <c r="E111" s="8"/>
      <c r="F111" s="7">
        <f t="shared" ref="F111" si="29">F66*12</f>
        <v>163200</v>
      </c>
    </row>
    <row r="112" spans="1:6" x14ac:dyDescent="0.2">
      <c r="A112" s="6" t="s">
        <v>44</v>
      </c>
      <c r="B112" s="7">
        <f t="shared" ref="B112:F112" si="30">B67*12</f>
        <v>51000</v>
      </c>
      <c r="C112" s="7">
        <f t="shared" si="30"/>
        <v>56100</v>
      </c>
      <c r="D112" s="7">
        <f t="shared" si="30"/>
        <v>61710.000000000015</v>
      </c>
      <c r="E112" s="7">
        <f t="shared" si="30"/>
        <v>67881.000000000029</v>
      </c>
      <c r="F112" s="7">
        <f t="shared" si="30"/>
        <v>74669.10000000002</v>
      </c>
    </row>
    <row r="113" spans="1:6" x14ac:dyDescent="0.2">
      <c r="A113" s="1" t="s">
        <v>25</v>
      </c>
      <c r="B113" s="7">
        <f t="shared" ref="B113:F113" si="31">B68*12</f>
        <v>40800</v>
      </c>
      <c r="C113" s="7">
        <f t="shared" si="31"/>
        <v>44880</v>
      </c>
      <c r="D113" s="7">
        <f t="shared" si="31"/>
        <v>49368</v>
      </c>
      <c r="E113" s="7">
        <f t="shared" si="31"/>
        <v>54304.799999999996</v>
      </c>
      <c r="F113" s="7">
        <f t="shared" si="31"/>
        <v>59735.280000000006</v>
      </c>
    </row>
    <row r="114" spans="1:6" x14ac:dyDescent="0.2">
      <c r="A114" s="1" t="s">
        <v>26</v>
      </c>
      <c r="B114" s="8"/>
      <c r="C114" s="8"/>
      <c r="D114" s="7">
        <f t="shared" ref="D114:F114" si="32">D69*12</f>
        <v>40800</v>
      </c>
      <c r="E114" s="7">
        <f t="shared" si="32"/>
        <v>44880</v>
      </c>
      <c r="F114" s="7">
        <f t="shared" si="32"/>
        <v>49368</v>
      </c>
    </row>
    <row r="115" spans="1:6" x14ac:dyDescent="0.2">
      <c r="A115" s="1" t="s">
        <v>27</v>
      </c>
      <c r="B115" s="8"/>
      <c r="C115" s="8"/>
      <c r="D115" s="7">
        <f t="shared" ref="D115:F115" si="33">D70*12</f>
        <v>40800</v>
      </c>
      <c r="E115" s="7">
        <f t="shared" si="33"/>
        <v>44880</v>
      </c>
      <c r="F115" s="7">
        <f t="shared" si="33"/>
        <v>49368</v>
      </c>
    </row>
    <row r="116" spans="1:6" x14ac:dyDescent="0.2">
      <c r="A116" s="1" t="s">
        <v>28</v>
      </c>
      <c r="B116" s="8"/>
      <c r="C116" s="8"/>
      <c r="D116" s="8"/>
      <c r="E116" s="8"/>
      <c r="F116" s="7">
        <f t="shared" ref="F116" si="34">F71*12</f>
        <v>40800</v>
      </c>
    </row>
    <row r="117" spans="1:6" x14ac:dyDescent="0.2">
      <c r="A117" s="11" t="s">
        <v>31</v>
      </c>
      <c r="B117" s="12"/>
      <c r="C117" s="12"/>
      <c r="D117" s="12"/>
      <c r="E117" s="12"/>
      <c r="F117" s="12"/>
    </row>
    <row r="118" spans="1:6" x14ac:dyDescent="0.2">
      <c r="A118" s="6" t="s">
        <v>42</v>
      </c>
      <c r="B118" s="8"/>
      <c r="C118" s="8"/>
      <c r="D118" s="8"/>
      <c r="E118" s="8"/>
      <c r="F118" s="7">
        <f t="shared" ref="F118" si="35">F73*12</f>
        <v>163200</v>
      </c>
    </row>
    <row r="119" spans="1:6" x14ac:dyDescent="0.2">
      <c r="A119" s="6" t="s">
        <v>48</v>
      </c>
      <c r="B119" s="7">
        <f t="shared" ref="B119:F119" si="36">B74*12</f>
        <v>71400</v>
      </c>
      <c r="C119" s="7">
        <f t="shared" si="36"/>
        <v>78540.000000000015</v>
      </c>
      <c r="D119" s="7">
        <f t="shared" si="36"/>
        <v>86394.000000000015</v>
      </c>
      <c r="E119" s="7">
        <f t="shared" si="36"/>
        <v>95033.400000000023</v>
      </c>
      <c r="F119" s="7">
        <f t="shared" si="36"/>
        <v>104536.74000000005</v>
      </c>
    </row>
    <row r="120" spans="1:6" x14ac:dyDescent="0.2">
      <c r="A120" s="1" t="s">
        <v>32</v>
      </c>
      <c r="B120" s="7">
        <f t="shared" ref="B120:F120" si="37">B75*12</f>
        <v>61200</v>
      </c>
      <c r="C120" s="7">
        <f t="shared" si="37"/>
        <v>67320.000000000015</v>
      </c>
      <c r="D120" s="7">
        <f t="shared" si="37"/>
        <v>74052.000000000029</v>
      </c>
      <c r="E120" s="7">
        <f t="shared" si="37"/>
        <v>81457.200000000026</v>
      </c>
      <c r="F120" s="7">
        <f t="shared" si="37"/>
        <v>89602.920000000042</v>
      </c>
    </row>
    <row r="121" spans="1:6" x14ac:dyDescent="0.2">
      <c r="A121" s="1" t="s">
        <v>33</v>
      </c>
      <c r="B121" s="7">
        <f t="shared" ref="B121:F121" si="38">B76*12</f>
        <v>53040</v>
      </c>
      <c r="C121" s="7">
        <f t="shared" si="38"/>
        <v>58344.000000000015</v>
      </c>
      <c r="D121" s="7">
        <f t="shared" si="38"/>
        <v>64178.400000000023</v>
      </c>
      <c r="E121" s="7">
        <f t="shared" si="38"/>
        <v>70596.24000000002</v>
      </c>
      <c r="F121" s="7">
        <f t="shared" si="38"/>
        <v>77655.864000000031</v>
      </c>
    </row>
    <row r="122" spans="1:6" x14ac:dyDescent="0.2">
      <c r="A122" s="1" t="s">
        <v>34</v>
      </c>
      <c r="B122" s="7">
        <f t="shared" ref="B122:F122" si="39">B77*12</f>
        <v>44880</v>
      </c>
      <c r="C122" s="7">
        <f t="shared" si="39"/>
        <v>49368</v>
      </c>
      <c r="D122" s="7">
        <f t="shared" si="39"/>
        <v>54304.799999999996</v>
      </c>
      <c r="E122" s="7">
        <f t="shared" si="39"/>
        <v>59735.280000000006</v>
      </c>
      <c r="F122" s="7">
        <f t="shared" si="39"/>
        <v>65708.808000000005</v>
      </c>
    </row>
    <row r="123" spans="1:6" x14ac:dyDescent="0.2">
      <c r="A123" s="1" t="s">
        <v>35</v>
      </c>
      <c r="B123" s="7">
        <f t="shared" ref="B123:F123" si="40">B78*12</f>
        <v>44880</v>
      </c>
      <c r="C123" s="7">
        <f t="shared" si="40"/>
        <v>49368</v>
      </c>
      <c r="D123" s="7">
        <f t="shared" si="40"/>
        <v>54304.799999999996</v>
      </c>
      <c r="E123" s="7">
        <f t="shared" si="40"/>
        <v>59735.280000000006</v>
      </c>
      <c r="F123" s="7">
        <f t="shared" si="40"/>
        <v>65708.808000000005</v>
      </c>
    </row>
    <row r="124" spans="1:6" x14ac:dyDescent="0.2">
      <c r="A124" s="1" t="s">
        <v>36</v>
      </c>
      <c r="B124" s="8"/>
      <c r="C124" s="8"/>
      <c r="D124" s="7">
        <f t="shared" ref="D124:F124" si="41">D79*12</f>
        <v>54304.799999999996</v>
      </c>
      <c r="E124" s="7">
        <f t="shared" si="41"/>
        <v>59735.280000000006</v>
      </c>
      <c r="F124" s="7">
        <f t="shared" si="41"/>
        <v>65708.808000000005</v>
      </c>
    </row>
    <row r="125" spans="1:6" x14ac:dyDescent="0.2">
      <c r="A125" s="1" t="s">
        <v>37</v>
      </c>
      <c r="B125" s="8"/>
      <c r="C125" s="8"/>
      <c r="D125" s="8"/>
      <c r="E125" s="8"/>
      <c r="F125" s="7">
        <f t="shared" ref="F125" si="42">F80*12</f>
        <v>89602.920000000042</v>
      </c>
    </row>
    <row r="126" spans="1:6" x14ac:dyDescent="0.2">
      <c r="A126" s="1" t="s">
        <v>34</v>
      </c>
      <c r="B126" s="8"/>
      <c r="C126" s="7">
        <f t="shared" ref="C126:F126" si="43">C81*12</f>
        <v>49368</v>
      </c>
      <c r="D126" s="7">
        <f t="shared" si="43"/>
        <v>54304.799999999996</v>
      </c>
      <c r="E126" s="7">
        <f t="shared" si="43"/>
        <v>59735.280000000006</v>
      </c>
      <c r="F126" s="7">
        <f t="shared" si="43"/>
        <v>65708.808000000005</v>
      </c>
    </row>
    <row r="127" spans="1:6" x14ac:dyDescent="0.2">
      <c r="A127" s="1" t="s">
        <v>35</v>
      </c>
      <c r="B127" s="8"/>
      <c r="C127" s="8"/>
      <c r="D127" s="7">
        <f t="shared" ref="D127:F127" si="44">D82*12</f>
        <v>54304.799999999996</v>
      </c>
      <c r="E127" s="7">
        <f t="shared" si="44"/>
        <v>59735.280000000006</v>
      </c>
      <c r="F127" s="7">
        <f t="shared" si="44"/>
        <v>65708.808000000005</v>
      </c>
    </row>
    <row r="128" spans="1:6" x14ac:dyDescent="0.2">
      <c r="A128" s="1" t="s">
        <v>38</v>
      </c>
      <c r="B128" s="8"/>
      <c r="C128" s="8"/>
      <c r="D128" s="8"/>
      <c r="E128" s="8"/>
      <c r="F128" s="7">
        <f t="shared" ref="F128" si="45">F83*12</f>
        <v>65708.808000000005</v>
      </c>
    </row>
    <row r="129" spans="1:6" x14ac:dyDescent="0.2">
      <c r="A129" s="11" t="s">
        <v>39</v>
      </c>
      <c r="B129" s="10"/>
      <c r="C129" s="10"/>
      <c r="D129" s="10"/>
      <c r="E129" s="10"/>
      <c r="F129" s="10"/>
    </row>
    <row r="130" spans="1:6" x14ac:dyDescent="0.2">
      <c r="A130" s="1" t="s">
        <v>41</v>
      </c>
      <c r="B130" s="8"/>
      <c r="C130" s="8"/>
      <c r="D130" s="8"/>
      <c r="E130" s="8"/>
      <c r="F130" s="7">
        <f t="shared" ref="F130" si="46">F85*12</f>
        <v>163200</v>
      </c>
    </row>
    <row r="131" spans="1:6" x14ac:dyDescent="0.2">
      <c r="A131" s="1" t="s">
        <v>47</v>
      </c>
      <c r="B131" s="8"/>
      <c r="C131" s="8"/>
      <c r="D131" s="7">
        <f t="shared" ref="D131:F131" si="47">D86*12</f>
        <v>71400</v>
      </c>
      <c r="E131" s="7">
        <f t="shared" si="47"/>
        <v>78540.000000000015</v>
      </c>
      <c r="F131" s="7">
        <f t="shared" si="47"/>
        <v>86394.000000000015</v>
      </c>
    </row>
    <row r="132" spans="1:6" x14ac:dyDescent="0.2">
      <c r="A132" s="1" t="s">
        <v>40</v>
      </c>
      <c r="B132" s="8"/>
      <c r="C132" s="8"/>
      <c r="D132" s="8"/>
      <c r="E132" s="8"/>
      <c r="F132" s="7">
        <f t="shared" ref="F132" si="48">F87*12</f>
        <v>61200</v>
      </c>
    </row>
    <row r="133" spans="1:6" x14ac:dyDescent="0.2">
      <c r="A133" s="1" t="s">
        <v>43</v>
      </c>
      <c r="B133" s="8"/>
      <c r="C133" s="8"/>
      <c r="D133" s="7">
        <f t="shared" ref="D133:F133" si="49">D88*12</f>
        <v>51000</v>
      </c>
      <c r="E133" s="7">
        <f t="shared" si="49"/>
        <v>56100</v>
      </c>
      <c r="F133" s="7">
        <f t="shared" si="49"/>
        <v>61710.000000000015</v>
      </c>
    </row>
    <row r="134" spans="1:6" x14ac:dyDescent="0.2">
      <c r="A134" s="13" t="s">
        <v>5</v>
      </c>
      <c r="B134" s="14">
        <f>SUM(B94:B133)</f>
        <v>580980</v>
      </c>
      <c r="C134" s="14">
        <f t="shared" ref="C134:F134" si="50">SUM(C94:C133)</f>
        <v>688446</v>
      </c>
      <c r="D134" s="14">
        <f t="shared" si="50"/>
        <v>1180060.2000000002</v>
      </c>
      <c r="E134" s="14">
        <f t="shared" si="50"/>
        <v>1313962.9200000004</v>
      </c>
      <c r="F134" s="14">
        <f t="shared" si="50"/>
        <v>2620936.4700000007</v>
      </c>
    </row>
  </sheetData>
  <mergeCells count="3">
    <mergeCell ref="A1:F1"/>
    <mergeCell ref="A47:F47"/>
    <mergeCell ref="A92:F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31" zoomScale="145" zoomScaleNormal="145" workbookViewId="0">
      <selection activeCell="B52" sqref="B52"/>
    </sheetView>
  </sheetViews>
  <sheetFormatPr defaultRowHeight="12.75" x14ac:dyDescent="0.2"/>
  <cols>
    <col min="1" max="1" width="34.33203125" style="4" bestFit="1" customWidth="1"/>
    <col min="2" max="3" width="13.6640625" style="4" bestFit="1" customWidth="1"/>
    <col min="4" max="5" width="15.33203125" style="4" bestFit="1" customWidth="1"/>
    <col min="6" max="6" width="14.6640625" style="4" bestFit="1" customWidth="1"/>
    <col min="7" max="16384" width="9.33203125" style="4"/>
  </cols>
  <sheetData>
    <row r="1" spans="1:8" ht="15" x14ac:dyDescent="0.25">
      <c r="A1" s="67" t="s">
        <v>58</v>
      </c>
      <c r="B1" s="67"/>
      <c r="C1" s="67"/>
      <c r="D1" s="67"/>
      <c r="E1" s="67"/>
      <c r="F1" s="67"/>
      <c r="G1" s="18" t="s">
        <v>54</v>
      </c>
      <c r="H1" s="17">
        <v>0.1</v>
      </c>
    </row>
    <row r="2" spans="1:8" ht="15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">
      <c r="A3" s="20" t="s">
        <v>51</v>
      </c>
      <c r="B3" s="21"/>
      <c r="C3" s="21"/>
      <c r="D3" s="21"/>
      <c r="E3" s="21"/>
      <c r="F3" s="21"/>
      <c r="G3" s="4" t="s">
        <v>57</v>
      </c>
      <c r="H3" s="17">
        <v>0.5</v>
      </c>
    </row>
    <row r="4" spans="1:8" x14ac:dyDescent="0.2">
      <c r="A4" s="4" t="s">
        <v>66</v>
      </c>
      <c r="B4" s="18">
        <v>1200</v>
      </c>
      <c r="C4" s="18">
        <f>B4*(1+$H$3)</f>
        <v>1800</v>
      </c>
      <c r="D4" s="18">
        <f>C4*(1+$H$1)</f>
        <v>1980.0000000000002</v>
      </c>
      <c r="E4" s="18">
        <f>D4*(1+$H$1)</f>
        <v>2178.0000000000005</v>
      </c>
      <c r="F4" s="18">
        <f>E4*(1+$H$1)</f>
        <v>2395.8000000000006</v>
      </c>
    </row>
    <row r="5" spans="1:8" x14ac:dyDescent="0.2">
      <c r="A5" s="20" t="s">
        <v>17</v>
      </c>
      <c r="B5" s="21"/>
      <c r="C5" s="21"/>
      <c r="D5" s="21"/>
      <c r="E5" s="21"/>
      <c r="F5" s="21"/>
    </row>
    <row r="6" spans="1:8" x14ac:dyDescent="0.2">
      <c r="A6" s="4" t="s">
        <v>52</v>
      </c>
      <c r="B6" s="18">
        <v>678</v>
      </c>
      <c r="C6" s="18">
        <f>B6*(1+$H$1)</f>
        <v>745.80000000000007</v>
      </c>
      <c r="D6" s="18">
        <f t="shared" ref="D6:F6" si="0">C6*(1+$H$1)</f>
        <v>820.38000000000011</v>
      </c>
      <c r="E6" s="18">
        <f t="shared" si="0"/>
        <v>902.41800000000023</v>
      </c>
      <c r="F6" s="18">
        <f t="shared" si="0"/>
        <v>992.65980000000036</v>
      </c>
    </row>
    <row r="7" spans="1:8" x14ac:dyDescent="0.2">
      <c r="A7" s="4" t="s">
        <v>53</v>
      </c>
      <c r="B7" s="18">
        <f>B6</f>
        <v>678</v>
      </c>
      <c r="C7" s="18">
        <f>B7*(1+$H$1)</f>
        <v>745.80000000000007</v>
      </c>
      <c r="D7" s="18">
        <f>C7*(1+$H$1)</f>
        <v>820.38000000000011</v>
      </c>
      <c r="E7" s="18">
        <f>D7*(1+$H$1)</f>
        <v>902.41800000000023</v>
      </c>
      <c r="F7" s="18">
        <f>E7*(1+$H$1)</f>
        <v>992.65980000000036</v>
      </c>
    </row>
    <row r="8" spans="1:8" x14ac:dyDescent="0.2">
      <c r="A8" s="4" t="s">
        <v>72</v>
      </c>
      <c r="B8" s="8"/>
      <c r="C8" s="8"/>
      <c r="D8" s="18">
        <v>1500</v>
      </c>
      <c r="E8" s="18">
        <f>D8*(1+$H$1)</f>
        <v>1650.0000000000002</v>
      </c>
      <c r="F8" s="18">
        <f>E8*(1+$H$1)</f>
        <v>1815.0000000000005</v>
      </c>
    </row>
    <row r="9" spans="1:8" x14ac:dyDescent="0.2">
      <c r="A9" s="20" t="s">
        <v>18</v>
      </c>
      <c r="B9" s="21"/>
      <c r="C9" s="21"/>
      <c r="D9" s="21"/>
      <c r="E9" s="21"/>
      <c r="F9" s="21"/>
      <c r="G9" s="4" t="s">
        <v>57</v>
      </c>
      <c r="H9" s="17">
        <v>0.1</v>
      </c>
    </row>
    <row r="10" spans="1:8" x14ac:dyDescent="0.2">
      <c r="A10" s="4" t="s">
        <v>97</v>
      </c>
      <c r="B10" s="18">
        <v>140000</v>
      </c>
      <c r="C10" s="18"/>
      <c r="D10" s="18">
        <v>140000</v>
      </c>
      <c r="F10" s="18">
        <v>200000</v>
      </c>
      <c r="H10" s="17"/>
    </row>
    <row r="11" spans="1:8" x14ac:dyDescent="0.2">
      <c r="A11" s="4" t="s">
        <v>98</v>
      </c>
      <c r="B11" s="18">
        <v>35000</v>
      </c>
      <c r="C11" s="18">
        <f>B11*(1+$H$9)</f>
        <v>38500</v>
      </c>
      <c r="D11" s="18">
        <f>2*C11</f>
        <v>77000</v>
      </c>
      <c r="E11" s="18">
        <f t="shared" ref="E11" si="1">D11*(1+$H$9)</f>
        <v>84700</v>
      </c>
      <c r="F11" s="18">
        <f>3*E11</f>
        <v>254100</v>
      </c>
    </row>
    <row r="12" spans="1:8" x14ac:dyDescent="0.2">
      <c r="A12" s="20" t="s">
        <v>24</v>
      </c>
      <c r="B12" s="21"/>
      <c r="C12" s="21"/>
      <c r="D12" s="21"/>
      <c r="E12" s="21"/>
      <c r="F12" s="21"/>
      <c r="G12" s="4" t="s">
        <v>54</v>
      </c>
      <c r="H12" s="17">
        <v>0.1</v>
      </c>
    </row>
    <row r="13" spans="1:8" x14ac:dyDescent="0.2">
      <c r="A13" s="22" t="s">
        <v>62</v>
      </c>
      <c r="B13" s="18">
        <v>2000</v>
      </c>
      <c r="C13" s="18">
        <f>B13*(1+$H$12)</f>
        <v>2200</v>
      </c>
      <c r="D13" s="18">
        <f t="shared" ref="D13:F13" si="2">C13*(1+$H$12)</f>
        <v>2420</v>
      </c>
      <c r="E13" s="18">
        <f t="shared" si="2"/>
        <v>2662</v>
      </c>
      <c r="F13" s="18">
        <f t="shared" si="2"/>
        <v>2928.2000000000003</v>
      </c>
    </row>
    <row r="14" spans="1:8" x14ac:dyDescent="0.2">
      <c r="A14" s="22" t="s">
        <v>63</v>
      </c>
      <c r="B14" s="8"/>
      <c r="C14" s="8"/>
      <c r="D14" s="18">
        <f>D13</f>
        <v>2420</v>
      </c>
      <c r="E14" s="18">
        <f t="shared" ref="E14:F15" si="3">E13</f>
        <v>2662</v>
      </c>
      <c r="F14" s="18">
        <f t="shared" si="3"/>
        <v>2928.2000000000003</v>
      </c>
    </row>
    <row r="15" spans="1:8" x14ac:dyDescent="0.2">
      <c r="A15" s="22" t="s">
        <v>64</v>
      </c>
      <c r="B15" s="8"/>
      <c r="C15" s="8"/>
      <c r="D15" s="18">
        <f>D14</f>
        <v>2420</v>
      </c>
      <c r="E15" s="18">
        <f t="shared" si="3"/>
        <v>2662</v>
      </c>
      <c r="F15" s="18">
        <f t="shared" si="3"/>
        <v>2928.2000000000003</v>
      </c>
    </row>
    <row r="16" spans="1:8" x14ac:dyDescent="0.2">
      <c r="A16" s="22" t="s">
        <v>65</v>
      </c>
      <c r="B16" s="8"/>
      <c r="C16" s="8"/>
      <c r="D16" s="8"/>
      <c r="E16" s="8"/>
      <c r="F16" s="18">
        <f>F15</f>
        <v>2928.2000000000003</v>
      </c>
    </row>
    <row r="17" spans="1:8" x14ac:dyDescent="0.2">
      <c r="A17" s="22"/>
      <c r="B17" s="18"/>
      <c r="C17" s="18"/>
      <c r="D17" s="18"/>
      <c r="E17" s="18"/>
      <c r="F17" s="18"/>
    </row>
    <row r="18" spans="1:8" x14ac:dyDescent="0.2">
      <c r="A18" s="20" t="s">
        <v>31</v>
      </c>
      <c r="B18" s="23"/>
      <c r="C18" s="23"/>
      <c r="D18" s="23"/>
      <c r="E18" s="23"/>
      <c r="F18" s="23"/>
      <c r="G18" s="4" t="s">
        <v>57</v>
      </c>
      <c r="H18" s="17">
        <v>0.3</v>
      </c>
    </row>
    <row r="19" spans="1:8" x14ac:dyDescent="0.2">
      <c r="A19" s="22" t="s">
        <v>59</v>
      </c>
      <c r="B19" s="18">
        <v>15</v>
      </c>
      <c r="C19" s="18">
        <f>B19*(1+$H$18)</f>
        <v>19.5</v>
      </c>
      <c r="D19" s="18">
        <v>50</v>
      </c>
      <c r="E19" s="18">
        <f>D19*(1+$H$18)</f>
        <v>65</v>
      </c>
      <c r="F19" s="18">
        <f>E19*(1+$H$18)</f>
        <v>84.5</v>
      </c>
    </row>
    <row r="20" spans="1:8" x14ac:dyDescent="0.2">
      <c r="A20" s="22" t="s">
        <v>60</v>
      </c>
      <c r="B20" s="18">
        <v>3</v>
      </c>
      <c r="C20" s="18">
        <f>B20*(1+$H$1)</f>
        <v>3.3000000000000003</v>
      </c>
      <c r="D20" s="18">
        <f>C20*(1+$H$1)</f>
        <v>3.6300000000000008</v>
      </c>
      <c r="E20" s="18">
        <f>D20*(1+$H$1)</f>
        <v>3.9930000000000012</v>
      </c>
      <c r="F20" s="18">
        <f>E20*(1+$H$1)</f>
        <v>4.3923000000000014</v>
      </c>
    </row>
    <row r="21" spans="1:8" x14ac:dyDescent="0.2">
      <c r="A21" s="4" t="s">
        <v>61</v>
      </c>
      <c r="B21" s="18">
        <v>450</v>
      </c>
      <c r="C21" s="18">
        <f>B21*(1+$H$18)</f>
        <v>585</v>
      </c>
      <c r="D21" s="18">
        <f>C21*(1+$H$18)</f>
        <v>760.5</v>
      </c>
      <c r="E21" s="18">
        <f>D21*(1+$H$18)</f>
        <v>988.65</v>
      </c>
      <c r="F21" s="18">
        <f>E21*(1+$H$18)</f>
        <v>1285.2450000000001</v>
      </c>
    </row>
    <row r="22" spans="1:8" x14ac:dyDescent="0.2">
      <c r="A22" s="20" t="s">
        <v>39</v>
      </c>
      <c r="B22" s="21"/>
      <c r="C22" s="21"/>
      <c r="D22" s="21"/>
      <c r="E22" s="21"/>
      <c r="F22" s="21"/>
    </row>
    <row r="23" spans="1:8" x14ac:dyDescent="0.2">
      <c r="A23" s="4" t="s">
        <v>150</v>
      </c>
      <c r="B23" s="18">
        <v>25000</v>
      </c>
      <c r="C23" s="18">
        <v>0</v>
      </c>
      <c r="D23" s="18">
        <v>10000</v>
      </c>
      <c r="E23" s="8"/>
      <c r="F23" s="18">
        <v>15000</v>
      </c>
    </row>
    <row r="24" spans="1:8" x14ac:dyDescent="0.2">
      <c r="A24" s="4" t="s">
        <v>68</v>
      </c>
      <c r="B24" s="18">
        <v>678</v>
      </c>
      <c r="C24" s="18">
        <f>B24*(1+$H$1)</f>
        <v>745.80000000000007</v>
      </c>
      <c r="D24" s="8"/>
      <c r="E24" s="8"/>
      <c r="F24" s="8"/>
    </row>
    <row r="25" spans="1:8" x14ac:dyDescent="0.2">
      <c r="A25" s="24" t="s">
        <v>5</v>
      </c>
      <c r="B25" s="25">
        <f>SUM(B4:B24)</f>
        <v>205702</v>
      </c>
      <c r="C25" s="25">
        <f>SUM(C4:C24)</f>
        <v>45345.200000000004</v>
      </c>
      <c r="D25" s="25">
        <f>SUM(D4:D24)</f>
        <v>240194.89</v>
      </c>
      <c r="E25" s="25">
        <f>SUM(E4:E24)</f>
        <v>99376.478999999992</v>
      </c>
      <c r="F25" s="25">
        <f>SUM(F4:F24)</f>
        <v>488383.05690000003</v>
      </c>
    </row>
    <row r="28" spans="1:8" ht="15" x14ac:dyDescent="0.25">
      <c r="A28" s="67" t="s">
        <v>67</v>
      </c>
      <c r="B28" s="67"/>
      <c r="C28" s="67"/>
      <c r="D28" s="67"/>
      <c r="E28" s="67"/>
      <c r="F28" s="67"/>
    </row>
    <row r="29" spans="1:8" ht="15" x14ac:dyDescent="0.25">
      <c r="A29" s="19"/>
      <c r="B29" s="19" t="s">
        <v>7</v>
      </c>
      <c r="C29" s="19" t="s">
        <v>8</v>
      </c>
      <c r="D29" s="19" t="s">
        <v>9</v>
      </c>
      <c r="E29" s="19" t="s">
        <v>10</v>
      </c>
      <c r="F29" s="19" t="s">
        <v>11</v>
      </c>
    </row>
    <row r="30" spans="1:8" x14ac:dyDescent="0.2">
      <c r="A30" s="20" t="s">
        <v>51</v>
      </c>
      <c r="B30" s="21"/>
      <c r="C30" s="21"/>
      <c r="D30" s="21"/>
      <c r="E30" s="21"/>
      <c r="F30" s="21"/>
    </row>
    <row r="31" spans="1:8" x14ac:dyDescent="0.2">
      <c r="A31" s="4" t="s">
        <v>66</v>
      </c>
      <c r="B31" s="18">
        <f>B4*12</f>
        <v>14400</v>
      </c>
      <c r="C31" s="18">
        <f>C4*12</f>
        <v>21600</v>
      </c>
      <c r="D31" s="18">
        <f>D4*12</f>
        <v>23760.000000000004</v>
      </c>
      <c r="E31" s="18">
        <f>E4*12</f>
        <v>26136.000000000007</v>
      </c>
      <c r="F31" s="18">
        <f>F4*12</f>
        <v>28749.600000000006</v>
      </c>
    </row>
    <row r="32" spans="1:8" x14ac:dyDescent="0.2">
      <c r="A32" s="20" t="s">
        <v>17</v>
      </c>
      <c r="B32" s="21"/>
      <c r="C32" s="21"/>
      <c r="D32" s="21"/>
      <c r="E32" s="21"/>
      <c r="F32" s="21"/>
    </row>
    <row r="33" spans="1:6" x14ac:dyDescent="0.2">
      <c r="A33" s="4" t="s">
        <v>52</v>
      </c>
      <c r="B33" s="18">
        <f t="shared" ref="B33:F34" si="4">B6*12</f>
        <v>8136</v>
      </c>
      <c r="C33" s="18">
        <f t="shared" si="4"/>
        <v>8949.6</v>
      </c>
      <c r="D33" s="18">
        <f t="shared" si="4"/>
        <v>9844.5600000000013</v>
      </c>
      <c r="E33" s="18">
        <f t="shared" si="4"/>
        <v>10829.016000000003</v>
      </c>
      <c r="F33" s="18">
        <f t="shared" si="4"/>
        <v>11911.917600000004</v>
      </c>
    </row>
    <row r="34" spans="1:6" x14ac:dyDescent="0.2">
      <c r="A34" s="4" t="s">
        <v>53</v>
      </c>
      <c r="B34" s="18">
        <f t="shared" si="4"/>
        <v>8136</v>
      </c>
      <c r="C34" s="18">
        <f t="shared" si="4"/>
        <v>8949.6</v>
      </c>
      <c r="D34" s="18">
        <f t="shared" si="4"/>
        <v>9844.5600000000013</v>
      </c>
      <c r="E34" s="18">
        <f t="shared" si="4"/>
        <v>10829.016000000003</v>
      </c>
      <c r="F34" s="18">
        <f t="shared" si="4"/>
        <v>11911.917600000004</v>
      </c>
    </row>
    <row r="35" spans="1:6" x14ac:dyDescent="0.2">
      <c r="A35" s="4" t="s">
        <v>72</v>
      </c>
      <c r="B35" s="8"/>
      <c r="C35" s="8"/>
      <c r="D35" s="18">
        <f>D8*12</f>
        <v>18000</v>
      </c>
      <c r="E35" s="18">
        <f>E8*12</f>
        <v>19800.000000000004</v>
      </c>
      <c r="F35" s="18">
        <f>F8*12</f>
        <v>21780.000000000007</v>
      </c>
    </row>
    <row r="36" spans="1:6" x14ac:dyDescent="0.2">
      <c r="A36" s="20" t="s">
        <v>18</v>
      </c>
      <c r="B36" s="21"/>
      <c r="C36" s="21"/>
      <c r="D36" s="21"/>
      <c r="E36" s="21"/>
      <c r="F36" s="21"/>
    </row>
    <row r="37" spans="1:6" x14ac:dyDescent="0.2">
      <c r="A37" s="4" t="s">
        <v>97</v>
      </c>
      <c r="B37" s="18">
        <f>B10</f>
        <v>140000</v>
      </c>
      <c r="C37" s="18">
        <f t="shared" ref="C37:F37" si="5">C10</f>
        <v>0</v>
      </c>
      <c r="D37" s="18">
        <f t="shared" si="5"/>
        <v>140000</v>
      </c>
      <c r="E37" s="18">
        <f t="shared" si="5"/>
        <v>0</v>
      </c>
      <c r="F37" s="18">
        <f t="shared" si="5"/>
        <v>200000</v>
      </c>
    </row>
    <row r="38" spans="1:6" x14ac:dyDescent="0.2">
      <c r="A38" s="4" t="s">
        <v>56</v>
      </c>
      <c r="B38" s="18">
        <f>B11*12</f>
        <v>420000</v>
      </c>
      <c r="C38" s="18">
        <f t="shared" ref="C38:F38" si="6">C11*12</f>
        <v>462000</v>
      </c>
      <c r="D38" s="18">
        <f t="shared" si="6"/>
        <v>924000</v>
      </c>
      <c r="E38" s="18">
        <f t="shared" si="6"/>
        <v>1016400</v>
      </c>
      <c r="F38" s="18">
        <f t="shared" si="6"/>
        <v>3049200</v>
      </c>
    </row>
    <row r="39" spans="1:6" x14ac:dyDescent="0.2">
      <c r="A39" s="20" t="s">
        <v>24</v>
      </c>
      <c r="B39" s="21"/>
      <c r="C39" s="21"/>
      <c r="D39" s="21"/>
      <c r="E39" s="21"/>
      <c r="F39" s="21"/>
    </row>
    <row r="40" spans="1:6" x14ac:dyDescent="0.2">
      <c r="A40" s="22" t="s">
        <v>62</v>
      </c>
      <c r="B40" s="18">
        <f>B13*12</f>
        <v>24000</v>
      </c>
      <c r="C40" s="18">
        <f>C13*12</f>
        <v>26400</v>
      </c>
      <c r="D40" s="18">
        <f>D13*12</f>
        <v>29040</v>
      </c>
      <c r="E40" s="18">
        <f>E13*12</f>
        <v>31944</v>
      </c>
      <c r="F40" s="18">
        <f>F13*12</f>
        <v>35138.400000000001</v>
      </c>
    </row>
    <row r="41" spans="1:6" x14ac:dyDescent="0.2">
      <c r="A41" s="22" t="s">
        <v>63</v>
      </c>
      <c r="B41" s="8"/>
      <c r="C41" s="8"/>
      <c r="D41" s="18">
        <f t="shared" ref="D41:F42" si="7">D14*12</f>
        <v>29040</v>
      </c>
      <c r="E41" s="18">
        <f t="shared" si="7"/>
        <v>31944</v>
      </c>
      <c r="F41" s="18">
        <f t="shared" si="7"/>
        <v>35138.400000000001</v>
      </c>
    </row>
    <row r="42" spans="1:6" x14ac:dyDescent="0.2">
      <c r="A42" s="22" t="s">
        <v>64</v>
      </c>
      <c r="B42" s="8"/>
      <c r="C42" s="8"/>
      <c r="D42" s="18">
        <f t="shared" si="7"/>
        <v>29040</v>
      </c>
      <c r="E42" s="18">
        <f t="shared" si="7"/>
        <v>31944</v>
      </c>
      <c r="F42" s="18">
        <f t="shared" si="7"/>
        <v>35138.400000000001</v>
      </c>
    </row>
    <row r="43" spans="1:6" x14ac:dyDescent="0.2">
      <c r="A43" s="22" t="s">
        <v>65</v>
      </c>
      <c r="B43" s="8"/>
      <c r="C43" s="8"/>
      <c r="D43" s="8"/>
      <c r="E43" s="8"/>
      <c r="F43" s="18">
        <f>F16*12</f>
        <v>35138.400000000001</v>
      </c>
    </row>
    <row r="44" spans="1:6" x14ac:dyDescent="0.2">
      <c r="A44" s="22"/>
      <c r="B44" s="18"/>
      <c r="C44" s="18"/>
      <c r="D44" s="18"/>
      <c r="E44" s="18"/>
      <c r="F44" s="18"/>
    </row>
    <row r="45" spans="1:6" x14ac:dyDescent="0.2">
      <c r="A45" s="20" t="s">
        <v>31</v>
      </c>
      <c r="B45" s="23"/>
      <c r="C45" s="23"/>
      <c r="D45" s="23"/>
      <c r="E45" s="23"/>
      <c r="F45" s="23"/>
    </row>
    <row r="46" spans="1:6" x14ac:dyDescent="0.2">
      <c r="A46" s="22" t="s">
        <v>59</v>
      </c>
      <c r="B46" s="18">
        <f t="shared" ref="B46:F48" si="8">B19*12</f>
        <v>180</v>
      </c>
      <c r="C46" s="18">
        <f t="shared" si="8"/>
        <v>234</v>
      </c>
      <c r="D46" s="18">
        <f t="shared" si="8"/>
        <v>600</v>
      </c>
      <c r="E46" s="18">
        <f t="shared" si="8"/>
        <v>780</v>
      </c>
      <c r="F46" s="18">
        <f t="shared" si="8"/>
        <v>1014</v>
      </c>
    </row>
    <row r="47" spans="1:6" x14ac:dyDescent="0.2">
      <c r="A47" s="22" t="s">
        <v>60</v>
      </c>
      <c r="B47" s="18">
        <f t="shared" si="8"/>
        <v>36</v>
      </c>
      <c r="C47" s="18">
        <f t="shared" si="8"/>
        <v>39.6</v>
      </c>
      <c r="D47" s="18">
        <f t="shared" si="8"/>
        <v>43.560000000000009</v>
      </c>
      <c r="E47" s="18">
        <f t="shared" si="8"/>
        <v>47.916000000000011</v>
      </c>
      <c r="F47" s="18">
        <f t="shared" si="8"/>
        <v>52.707600000000014</v>
      </c>
    </row>
    <row r="48" spans="1:6" x14ac:dyDescent="0.2">
      <c r="A48" s="4" t="s">
        <v>61</v>
      </c>
      <c r="B48" s="18">
        <f t="shared" si="8"/>
        <v>5400</v>
      </c>
      <c r="C48" s="18">
        <f t="shared" si="8"/>
        <v>7020</v>
      </c>
      <c r="D48" s="18">
        <f t="shared" si="8"/>
        <v>9126</v>
      </c>
      <c r="E48" s="18">
        <f t="shared" si="8"/>
        <v>11863.8</v>
      </c>
      <c r="F48" s="18">
        <f t="shared" si="8"/>
        <v>15422.940000000002</v>
      </c>
    </row>
    <row r="49" spans="1:6" x14ac:dyDescent="0.2">
      <c r="A49" s="20" t="s">
        <v>39</v>
      </c>
      <c r="B49" s="21"/>
      <c r="C49" s="21"/>
      <c r="D49" s="21"/>
      <c r="E49" s="21"/>
      <c r="F49" s="21"/>
    </row>
    <row r="50" spans="1:6" x14ac:dyDescent="0.2">
      <c r="A50" s="4" t="s">
        <v>150</v>
      </c>
      <c r="B50" s="18">
        <v>25000</v>
      </c>
      <c r="C50" s="18">
        <v>0</v>
      </c>
      <c r="D50" s="18">
        <v>10000</v>
      </c>
      <c r="E50" s="8"/>
      <c r="F50" s="18">
        <v>15000</v>
      </c>
    </row>
    <row r="51" spans="1:6" x14ac:dyDescent="0.2">
      <c r="A51" s="4" t="s">
        <v>68</v>
      </c>
      <c r="B51" s="18">
        <f>B24*12</f>
        <v>8136</v>
      </c>
      <c r="C51" s="18">
        <f>C24*12</f>
        <v>8949.6</v>
      </c>
      <c r="D51" s="8"/>
      <c r="E51" s="8"/>
      <c r="F51" s="8"/>
    </row>
    <row r="52" spans="1:6" x14ac:dyDescent="0.2">
      <c r="A52" s="24" t="s">
        <v>5</v>
      </c>
      <c r="B52" s="25">
        <f>SUM(B31:B51)</f>
        <v>653424</v>
      </c>
      <c r="C52" s="25">
        <f>SUM(C31:C51)</f>
        <v>544142.39999999991</v>
      </c>
      <c r="D52" s="25">
        <f>SUM(D31:D51)</f>
        <v>1232338.6800000002</v>
      </c>
      <c r="E52" s="25">
        <f>SUM(E31:E51)</f>
        <v>1192517.7480000001</v>
      </c>
      <c r="F52" s="25">
        <f>SUM(F31:F51)</f>
        <v>3495596.6827999996</v>
      </c>
    </row>
    <row r="53" spans="1:6" x14ac:dyDescent="0.2">
      <c r="B53" s="18"/>
    </row>
  </sheetData>
  <mergeCells count="2">
    <mergeCell ref="A1:F1"/>
    <mergeCell ref="A28:F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opLeftCell="A10" zoomScale="145" zoomScaleNormal="145" workbookViewId="0">
      <selection activeCell="B27" sqref="B27"/>
    </sheetView>
  </sheetViews>
  <sheetFormatPr defaultRowHeight="15" x14ac:dyDescent="0.25"/>
  <cols>
    <col min="1" max="1" width="45.83203125" style="2" bestFit="1" customWidth="1"/>
    <col min="2" max="2" width="12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7" t="s">
        <v>73</v>
      </c>
      <c r="B1" s="67"/>
      <c r="C1" s="67"/>
      <c r="D1" s="67"/>
      <c r="E1" s="67"/>
      <c r="F1" s="67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79</v>
      </c>
      <c r="B4" s="18">
        <v>2800</v>
      </c>
      <c r="C4" s="18">
        <f>B4*(1+$H$3)</f>
        <v>2940</v>
      </c>
      <c r="D4" s="18">
        <f>C4*(1+$H$3)*(1+$H$4)</f>
        <v>3704.3999999999996</v>
      </c>
      <c r="E4" s="18">
        <f t="shared" ref="E4:F4" si="0">D4*(1+$H$3)*(1+$H$4)</f>
        <v>4667.5439999999999</v>
      </c>
      <c r="F4" s="18">
        <f t="shared" si="0"/>
        <v>5881.1054399999994</v>
      </c>
      <c r="G4" s="1" t="s">
        <v>82</v>
      </c>
      <c r="H4" s="26">
        <v>0.2</v>
      </c>
    </row>
    <row r="5" spans="1:8" x14ac:dyDescent="0.25">
      <c r="A5" s="2" t="s">
        <v>80</v>
      </c>
      <c r="B5" s="18">
        <v>850</v>
      </c>
      <c r="C5" s="18">
        <f>B5*(1+$H$3)</f>
        <v>892.5</v>
      </c>
      <c r="D5" s="18">
        <f>C5*(1+$H$3)*(1+$H$4)</f>
        <v>1124.55</v>
      </c>
      <c r="E5" s="18">
        <f t="shared" ref="E5:F5" si="1">D5*(1+$H$3)*(1+$H$4)</f>
        <v>1416.9329999999998</v>
      </c>
      <c r="F5" s="18">
        <f t="shared" si="1"/>
        <v>1785.3355799999997</v>
      </c>
    </row>
    <row r="6" spans="1:8" x14ac:dyDescent="0.25">
      <c r="A6" s="4" t="s">
        <v>0</v>
      </c>
      <c r="B6" s="18">
        <v>300</v>
      </c>
      <c r="C6" s="18">
        <f t="shared" ref="C6:F6" si="2">B6*(1+$H$4)</f>
        <v>360</v>
      </c>
      <c r="D6" s="18">
        <f t="shared" si="2"/>
        <v>432</v>
      </c>
      <c r="E6" s="18">
        <f t="shared" si="2"/>
        <v>518.4</v>
      </c>
      <c r="F6" s="18">
        <f t="shared" si="2"/>
        <v>622.07999999999993</v>
      </c>
    </row>
    <row r="7" spans="1:8" x14ac:dyDescent="0.25">
      <c r="A7" s="4" t="s">
        <v>1</v>
      </c>
      <c r="B7" s="18">
        <v>120</v>
      </c>
      <c r="C7" s="18">
        <f t="shared" ref="C7:F7" si="3">B7*(1+$H$4)</f>
        <v>144</v>
      </c>
      <c r="D7" s="18">
        <f t="shared" si="3"/>
        <v>172.79999999999998</v>
      </c>
      <c r="E7" s="18">
        <f t="shared" si="3"/>
        <v>207.35999999999999</v>
      </c>
      <c r="F7" s="18">
        <f t="shared" si="3"/>
        <v>248.83199999999997</v>
      </c>
    </row>
    <row r="8" spans="1:8" x14ac:dyDescent="0.25">
      <c r="A8" s="4" t="s">
        <v>2</v>
      </c>
      <c r="B8" s="18">
        <v>150</v>
      </c>
      <c r="C8" s="18">
        <f t="shared" ref="C8:F8" si="4">B8*(1+$H$4)</f>
        <v>180</v>
      </c>
      <c r="D8" s="18">
        <f t="shared" si="4"/>
        <v>216</v>
      </c>
      <c r="E8" s="18">
        <f t="shared" si="4"/>
        <v>259.2</v>
      </c>
      <c r="F8" s="18">
        <f t="shared" si="4"/>
        <v>311.03999999999996</v>
      </c>
    </row>
    <row r="9" spans="1:8" x14ac:dyDescent="0.25">
      <c r="A9" s="22" t="s">
        <v>81</v>
      </c>
      <c r="B9" s="18">
        <v>280</v>
      </c>
      <c r="C9" s="18">
        <f>B9*(1+$H$4)</f>
        <v>336</v>
      </c>
      <c r="D9" s="18">
        <f t="shared" ref="D9:F10" si="5">C9*(1+$H$4)</f>
        <v>403.2</v>
      </c>
      <c r="E9" s="18">
        <f t="shared" si="5"/>
        <v>483.84</v>
      </c>
      <c r="F9" s="18">
        <f t="shared" si="5"/>
        <v>580.60799999999995</v>
      </c>
    </row>
    <row r="10" spans="1:8" x14ac:dyDescent="0.25">
      <c r="A10" s="22" t="s">
        <v>83</v>
      </c>
      <c r="B10" s="18">
        <v>150</v>
      </c>
      <c r="C10" s="18">
        <f>B10*(1+$H$4)</f>
        <v>180</v>
      </c>
      <c r="D10" s="18">
        <f t="shared" si="5"/>
        <v>216</v>
      </c>
      <c r="E10" s="18">
        <f t="shared" si="5"/>
        <v>259.2</v>
      </c>
      <c r="F10" s="18">
        <f t="shared" si="5"/>
        <v>311.03999999999996</v>
      </c>
    </row>
    <row r="11" spans="1:8" x14ac:dyDescent="0.25">
      <c r="A11" s="20" t="s">
        <v>74</v>
      </c>
      <c r="B11" s="21"/>
      <c r="C11" s="21"/>
      <c r="D11" s="21"/>
      <c r="E11" s="21"/>
      <c r="F11" s="21"/>
    </row>
    <row r="12" spans="1:8" x14ac:dyDescent="0.25">
      <c r="A12" s="4" t="s">
        <v>84</v>
      </c>
      <c r="B12" s="8"/>
      <c r="C12" s="8"/>
      <c r="D12" s="18">
        <v>1900</v>
      </c>
      <c r="E12" s="18">
        <f>D12*(1+$H$3)</f>
        <v>1995</v>
      </c>
      <c r="F12" s="18">
        <f>E12*(1+$H$3)</f>
        <v>2094.75</v>
      </c>
    </row>
    <row r="13" spans="1:8" x14ac:dyDescent="0.25">
      <c r="A13" s="2" t="s">
        <v>85</v>
      </c>
      <c r="B13" s="8"/>
      <c r="C13" s="8"/>
      <c r="D13" s="18">
        <v>450</v>
      </c>
      <c r="E13" s="18">
        <f t="shared" ref="E13:F13" si="6">D13*(1+$H$3)</f>
        <v>472.5</v>
      </c>
      <c r="F13" s="18">
        <f t="shared" si="6"/>
        <v>496.125</v>
      </c>
    </row>
    <row r="14" spans="1:8" x14ac:dyDescent="0.25">
      <c r="A14" s="4" t="s">
        <v>0</v>
      </c>
      <c r="B14" s="8"/>
      <c r="C14" s="8"/>
      <c r="D14" s="18">
        <v>150</v>
      </c>
      <c r="E14" s="18">
        <f t="shared" ref="E14:F14" si="7">D14*(1+$H$3)</f>
        <v>157.5</v>
      </c>
      <c r="F14" s="18">
        <f t="shared" si="7"/>
        <v>165.375</v>
      </c>
    </row>
    <row r="15" spans="1:8" x14ac:dyDescent="0.25">
      <c r="A15" s="4" t="s">
        <v>1</v>
      </c>
      <c r="B15" s="8"/>
      <c r="C15" s="8"/>
      <c r="D15" s="18">
        <v>120</v>
      </c>
      <c r="E15" s="18">
        <f t="shared" ref="E15:F15" si="8">D15*(1+$H$3)</f>
        <v>126</v>
      </c>
      <c r="F15" s="18">
        <f t="shared" si="8"/>
        <v>132.30000000000001</v>
      </c>
    </row>
    <row r="16" spans="1:8" x14ac:dyDescent="0.25">
      <c r="A16" s="4" t="s">
        <v>2</v>
      </c>
      <c r="B16" s="8"/>
      <c r="C16" s="8"/>
      <c r="D16" s="18">
        <v>150</v>
      </c>
      <c r="E16" s="18">
        <f t="shared" ref="E16:F16" si="9">D16*(1+$H$3)</f>
        <v>157.5</v>
      </c>
      <c r="F16" s="18">
        <f t="shared" si="9"/>
        <v>165.375</v>
      </c>
    </row>
    <row r="17" spans="1:6" s="1" customFormat="1" ht="12.75" x14ac:dyDescent="0.2">
      <c r="A17" s="22" t="s">
        <v>81</v>
      </c>
      <c r="B17" s="8"/>
      <c r="C17" s="8"/>
      <c r="D17" s="18">
        <v>100</v>
      </c>
      <c r="E17" s="18">
        <f t="shared" ref="E17:F17" si="10">D17*(1+$H$3)</f>
        <v>105</v>
      </c>
      <c r="F17" s="18">
        <f t="shared" si="10"/>
        <v>110.25</v>
      </c>
    </row>
    <row r="18" spans="1:6" s="1" customFormat="1" ht="12.75" x14ac:dyDescent="0.2">
      <c r="A18" s="22" t="s">
        <v>83</v>
      </c>
      <c r="B18" s="8"/>
      <c r="C18" s="8"/>
      <c r="D18" s="18">
        <v>80</v>
      </c>
      <c r="E18" s="18">
        <f t="shared" ref="E18:F18" si="11">D18*(1+$H$3)</f>
        <v>84</v>
      </c>
      <c r="F18" s="18">
        <f t="shared" si="11"/>
        <v>88.2</v>
      </c>
    </row>
    <row r="19" spans="1:6" s="1" customFormat="1" ht="12.75" x14ac:dyDescent="0.2">
      <c r="A19" s="20" t="s">
        <v>75</v>
      </c>
      <c r="B19" s="21"/>
      <c r="C19" s="21"/>
      <c r="D19" s="21"/>
      <c r="E19" s="21"/>
      <c r="F19" s="21"/>
    </row>
    <row r="20" spans="1:6" s="1" customFormat="1" ht="12.75" x14ac:dyDescent="0.2">
      <c r="A20" s="4" t="s">
        <v>86</v>
      </c>
      <c r="B20" s="8"/>
      <c r="C20" s="8"/>
      <c r="D20" s="8"/>
      <c r="E20" s="18">
        <v>2500</v>
      </c>
      <c r="F20" s="18">
        <f>E20*(1+$H$3)</f>
        <v>2625</v>
      </c>
    </row>
    <row r="21" spans="1:6" s="1" customFormat="1" x14ac:dyDescent="0.25">
      <c r="A21" s="2" t="s">
        <v>85</v>
      </c>
      <c r="B21" s="8"/>
      <c r="C21" s="8"/>
      <c r="D21" s="8"/>
      <c r="E21" s="18">
        <v>700</v>
      </c>
      <c r="F21" s="18">
        <f t="shared" ref="F21:F26" si="12">E21*(1+$H$3)</f>
        <v>735</v>
      </c>
    </row>
    <row r="22" spans="1:6" s="1" customFormat="1" ht="12.75" x14ac:dyDescent="0.2">
      <c r="A22" s="4" t="s">
        <v>0</v>
      </c>
      <c r="B22" s="8"/>
      <c r="C22" s="8"/>
      <c r="D22" s="8"/>
      <c r="E22" s="18">
        <v>150</v>
      </c>
      <c r="F22" s="18">
        <f t="shared" si="12"/>
        <v>157.5</v>
      </c>
    </row>
    <row r="23" spans="1:6" s="1" customFormat="1" ht="12.75" x14ac:dyDescent="0.2">
      <c r="A23" s="4" t="s">
        <v>1</v>
      </c>
      <c r="B23" s="8"/>
      <c r="C23" s="8"/>
      <c r="D23" s="8"/>
      <c r="E23" s="18">
        <v>120</v>
      </c>
      <c r="F23" s="18">
        <f t="shared" si="12"/>
        <v>126</v>
      </c>
    </row>
    <row r="24" spans="1:6" s="1" customFormat="1" ht="12.75" x14ac:dyDescent="0.2">
      <c r="A24" s="4" t="s">
        <v>2</v>
      </c>
      <c r="B24" s="8"/>
      <c r="C24" s="8"/>
      <c r="D24" s="8"/>
      <c r="E24" s="18">
        <v>150</v>
      </c>
      <c r="F24" s="18">
        <f t="shared" si="12"/>
        <v>157.5</v>
      </c>
    </row>
    <row r="25" spans="1:6" s="1" customFormat="1" ht="12.75" x14ac:dyDescent="0.2">
      <c r="A25" s="22" t="s">
        <v>81</v>
      </c>
      <c r="B25" s="8"/>
      <c r="C25" s="8"/>
      <c r="D25" s="8"/>
      <c r="E25" s="18">
        <v>100</v>
      </c>
      <c r="F25" s="18">
        <f t="shared" si="12"/>
        <v>105</v>
      </c>
    </row>
    <row r="26" spans="1:6" s="1" customFormat="1" ht="12.75" x14ac:dyDescent="0.2">
      <c r="A26" s="22" t="s">
        <v>83</v>
      </c>
      <c r="B26" s="8"/>
      <c r="C26" s="8"/>
      <c r="D26" s="8"/>
      <c r="E26" s="18">
        <v>80</v>
      </c>
      <c r="F26" s="18">
        <f t="shared" si="12"/>
        <v>84</v>
      </c>
    </row>
    <row r="27" spans="1:6" s="1" customFormat="1" ht="12.75" x14ac:dyDescent="0.2">
      <c r="A27" s="24" t="s">
        <v>5</v>
      </c>
      <c r="B27" s="25">
        <f>SUM(B4:B12)</f>
        <v>4650</v>
      </c>
      <c r="C27" s="25">
        <f>SUM(C4:C12)</f>
        <v>5032.5</v>
      </c>
      <c r="D27" s="25">
        <f>SUM(D4:D12)</f>
        <v>8168.95</v>
      </c>
      <c r="E27" s="25">
        <f>SUM(E4:E12)</f>
        <v>9807.476999999999</v>
      </c>
      <c r="F27" s="25">
        <f>SUM(F4:F12)</f>
        <v>11834.791020000001</v>
      </c>
    </row>
    <row r="28" spans="1:6" s="1" customFormat="1" ht="12.75" x14ac:dyDescent="0.2">
      <c r="A28" s="4"/>
      <c r="B28" s="4"/>
      <c r="C28" s="4"/>
      <c r="D28" s="4"/>
      <c r="E28" s="4"/>
      <c r="F28" s="4"/>
    </row>
    <row r="29" spans="1:6" s="1" customFormat="1" ht="12.75" x14ac:dyDescent="0.2">
      <c r="A29" s="4"/>
      <c r="B29" s="4"/>
      <c r="C29" s="4"/>
      <c r="D29" s="4"/>
      <c r="E29" s="4"/>
      <c r="F29" s="4"/>
    </row>
    <row r="30" spans="1:6" s="1" customFormat="1" x14ac:dyDescent="0.25">
      <c r="A30" s="67" t="s">
        <v>77</v>
      </c>
      <c r="B30" s="67"/>
      <c r="C30" s="67"/>
      <c r="D30" s="67"/>
      <c r="E30" s="67"/>
      <c r="F30" s="67"/>
    </row>
    <row r="31" spans="1:6" s="1" customFormat="1" x14ac:dyDescent="0.25">
      <c r="A31" s="19"/>
      <c r="B31" s="19" t="s">
        <v>7</v>
      </c>
      <c r="C31" s="19" t="s">
        <v>8</v>
      </c>
      <c r="D31" s="19" t="s">
        <v>9</v>
      </c>
      <c r="E31" s="19" t="s">
        <v>10</v>
      </c>
      <c r="F31" s="19" t="s">
        <v>11</v>
      </c>
    </row>
    <row r="32" spans="1:6" s="1" customFormat="1" ht="12.75" x14ac:dyDescent="0.2">
      <c r="A32" s="20" t="s">
        <v>76</v>
      </c>
      <c r="B32" s="21"/>
      <c r="C32" s="21"/>
      <c r="D32" s="21"/>
      <c r="E32" s="21"/>
      <c r="F32" s="21"/>
    </row>
    <row r="33" spans="1:6" s="1" customFormat="1" ht="12.75" x14ac:dyDescent="0.2">
      <c r="A33" s="4" t="s">
        <v>79</v>
      </c>
      <c r="B33" s="18">
        <f>B4*12</f>
        <v>33600</v>
      </c>
      <c r="C33" s="18">
        <f t="shared" ref="C33:F33" si="13">C4*12</f>
        <v>35280</v>
      </c>
      <c r="D33" s="18">
        <f t="shared" si="13"/>
        <v>44452.799999999996</v>
      </c>
      <c r="E33" s="18">
        <f t="shared" si="13"/>
        <v>56010.527999999998</v>
      </c>
      <c r="F33" s="18">
        <f t="shared" si="13"/>
        <v>70573.265279999992</v>
      </c>
    </row>
    <row r="34" spans="1:6" s="1" customFormat="1" x14ac:dyDescent="0.25">
      <c r="A34" s="2" t="s">
        <v>80</v>
      </c>
      <c r="B34" s="18">
        <f t="shared" ref="B34:F34" si="14">B5*12</f>
        <v>10200</v>
      </c>
      <c r="C34" s="18">
        <f t="shared" si="14"/>
        <v>10710</v>
      </c>
      <c r="D34" s="18">
        <f t="shared" si="14"/>
        <v>13494.599999999999</v>
      </c>
      <c r="E34" s="18">
        <f t="shared" si="14"/>
        <v>17003.195999999996</v>
      </c>
      <c r="F34" s="18">
        <f t="shared" si="14"/>
        <v>21424.026959999996</v>
      </c>
    </row>
    <row r="35" spans="1:6" s="1" customFormat="1" ht="12.75" x14ac:dyDescent="0.2">
      <c r="A35" s="4" t="s">
        <v>0</v>
      </c>
      <c r="B35" s="18">
        <f t="shared" ref="B35:F35" si="15">B6*12</f>
        <v>3600</v>
      </c>
      <c r="C35" s="18">
        <f t="shared" si="15"/>
        <v>4320</v>
      </c>
      <c r="D35" s="18">
        <f t="shared" si="15"/>
        <v>5184</v>
      </c>
      <c r="E35" s="18">
        <f t="shared" si="15"/>
        <v>6220.7999999999993</v>
      </c>
      <c r="F35" s="18">
        <f t="shared" si="15"/>
        <v>7464.9599999999991</v>
      </c>
    </row>
    <row r="36" spans="1:6" s="1" customFormat="1" ht="12.75" x14ac:dyDescent="0.2">
      <c r="A36" s="4" t="s">
        <v>1</v>
      </c>
      <c r="B36" s="18">
        <f t="shared" ref="B36:F36" si="16">B7*12</f>
        <v>1440</v>
      </c>
      <c r="C36" s="18">
        <f t="shared" si="16"/>
        <v>1728</v>
      </c>
      <c r="D36" s="18">
        <f t="shared" si="16"/>
        <v>2073.6</v>
      </c>
      <c r="E36" s="18">
        <f t="shared" si="16"/>
        <v>2488.3199999999997</v>
      </c>
      <c r="F36" s="18">
        <f t="shared" si="16"/>
        <v>2985.9839999999995</v>
      </c>
    </row>
    <row r="37" spans="1:6" s="1" customFormat="1" ht="12.75" x14ac:dyDescent="0.2">
      <c r="A37" s="4" t="s">
        <v>2</v>
      </c>
      <c r="B37" s="18">
        <f t="shared" ref="B37:F37" si="17">B8*12</f>
        <v>1800</v>
      </c>
      <c r="C37" s="18">
        <f t="shared" si="17"/>
        <v>2160</v>
      </c>
      <c r="D37" s="18">
        <f t="shared" si="17"/>
        <v>2592</v>
      </c>
      <c r="E37" s="18">
        <f t="shared" si="17"/>
        <v>3110.3999999999996</v>
      </c>
      <c r="F37" s="18">
        <f t="shared" si="17"/>
        <v>3732.4799999999996</v>
      </c>
    </row>
    <row r="38" spans="1:6" s="1" customFormat="1" ht="12.75" x14ac:dyDescent="0.2">
      <c r="A38" s="22" t="s">
        <v>81</v>
      </c>
      <c r="B38" s="18">
        <f t="shared" ref="B38:F38" si="18">B9*12</f>
        <v>3360</v>
      </c>
      <c r="C38" s="18">
        <f t="shared" si="18"/>
        <v>4032</v>
      </c>
      <c r="D38" s="18">
        <f t="shared" si="18"/>
        <v>4838.3999999999996</v>
      </c>
      <c r="E38" s="18">
        <f t="shared" si="18"/>
        <v>5806.08</v>
      </c>
      <c r="F38" s="18">
        <f t="shared" si="18"/>
        <v>6967.2959999999994</v>
      </c>
    </row>
    <row r="39" spans="1:6" s="1" customFormat="1" ht="12.75" x14ac:dyDescent="0.2">
      <c r="A39" s="22" t="s">
        <v>83</v>
      </c>
      <c r="B39" s="18">
        <f t="shared" ref="B39:F39" si="19">B10*12</f>
        <v>1800</v>
      </c>
      <c r="C39" s="18">
        <f t="shared" si="19"/>
        <v>2160</v>
      </c>
      <c r="D39" s="18">
        <f t="shared" si="19"/>
        <v>2592</v>
      </c>
      <c r="E39" s="18">
        <f t="shared" si="19"/>
        <v>3110.3999999999996</v>
      </c>
      <c r="F39" s="18">
        <f t="shared" si="19"/>
        <v>3732.4799999999996</v>
      </c>
    </row>
    <row r="40" spans="1:6" s="1" customFormat="1" ht="12.75" x14ac:dyDescent="0.2">
      <c r="A40" s="20" t="s">
        <v>74</v>
      </c>
      <c r="B40" s="21"/>
      <c r="C40" s="21"/>
      <c r="D40" s="21"/>
      <c r="E40" s="21"/>
      <c r="F40" s="21"/>
    </row>
    <row r="41" spans="1:6" s="1" customFormat="1" ht="12.75" x14ac:dyDescent="0.2">
      <c r="A41" s="4" t="s">
        <v>84</v>
      </c>
      <c r="B41" s="8"/>
      <c r="C41" s="8"/>
      <c r="D41" s="18">
        <f t="shared" ref="D41:F41" si="20">D12*12</f>
        <v>22800</v>
      </c>
      <c r="E41" s="18">
        <f t="shared" si="20"/>
        <v>23940</v>
      </c>
      <c r="F41" s="18">
        <f t="shared" si="20"/>
        <v>25137</v>
      </c>
    </row>
    <row r="42" spans="1:6" s="1" customFormat="1" x14ac:dyDescent="0.25">
      <c r="A42" s="2" t="s">
        <v>85</v>
      </c>
      <c r="B42" s="8"/>
      <c r="C42" s="8"/>
      <c r="D42" s="18">
        <f t="shared" ref="D42:F42" si="21">D13*12</f>
        <v>5400</v>
      </c>
      <c r="E42" s="18">
        <f t="shared" si="21"/>
        <v>5670</v>
      </c>
      <c r="F42" s="18">
        <f t="shared" si="21"/>
        <v>5953.5</v>
      </c>
    </row>
    <row r="43" spans="1:6" s="1" customFormat="1" ht="12.75" x14ac:dyDescent="0.2">
      <c r="A43" s="4" t="s">
        <v>0</v>
      </c>
      <c r="B43" s="8"/>
      <c r="C43" s="8"/>
      <c r="D43" s="18">
        <f t="shared" ref="D43:F43" si="22">D14*12</f>
        <v>1800</v>
      </c>
      <c r="E43" s="18">
        <f t="shared" si="22"/>
        <v>1890</v>
      </c>
      <c r="F43" s="18">
        <f t="shared" si="22"/>
        <v>1984.5</v>
      </c>
    </row>
    <row r="44" spans="1:6" s="1" customFormat="1" ht="12.75" x14ac:dyDescent="0.2">
      <c r="A44" s="4" t="s">
        <v>1</v>
      </c>
      <c r="B44" s="8"/>
      <c r="C44" s="8"/>
      <c r="D44" s="18">
        <f t="shared" ref="D44:F44" si="23">D15*12</f>
        <v>1440</v>
      </c>
      <c r="E44" s="18">
        <f t="shared" si="23"/>
        <v>1512</v>
      </c>
      <c r="F44" s="18">
        <f t="shared" si="23"/>
        <v>1587.6000000000001</v>
      </c>
    </row>
    <row r="45" spans="1:6" s="1" customFormat="1" ht="12.75" x14ac:dyDescent="0.2">
      <c r="A45" s="4" t="s">
        <v>2</v>
      </c>
      <c r="B45" s="8"/>
      <c r="C45" s="8"/>
      <c r="D45" s="18">
        <f t="shared" ref="D45:F45" si="24">D16*12</f>
        <v>1800</v>
      </c>
      <c r="E45" s="18">
        <f t="shared" si="24"/>
        <v>1890</v>
      </c>
      <c r="F45" s="18">
        <f t="shared" si="24"/>
        <v>1984.5</v>
      </c>
    </row>
    <row r="46" spans="1:6" s="1" customFormat="1" ht="12.75" x14ac:dyDescent="0.2">
      <c r="A46" s="22" t="s">
        <v>81</v>
      </c>
      <c r="B46" s="8"/>
      <c r="C46" s="8"/>
      <c r="D46" s="18">
        <f t="shared" ref="D46:F46" si="25">D17*12</f>
        <v>1200</v>
      </c>
      <c r="E46" s="18">
        <f t="shared" si="25"/>
        <v>1260</v>
      </c>
      <c r="F46" s="18">
        <f t="shared" si="25"/>
        <v>1323</v>
      </c>
    </row>
    <row r="47" spans="1:6" s="1" customFormat="1" ht="12.75" x14ac:dyDescent="0.2">
      <c r="A47" s="22" t="s">
        <v>83</v>
      </c>
      <c r="B47" s="8"/>
      <c r="C47" s="8"/>
      <c r="D47" s="18">
        <f t="shared" ref="D47:F47" si="26">D18*12</f>
        <v>960</v>
      </c>
      <c r="E47" s="18">
        <f t="shared" si="26"/>
        <v>1008</v>
      </c>
      <c r="F47" s="18">
        <f t="shared" si="26"/>
        <v>1058.4000000000001</v>
      </c>
    </row>
    <row r="48" spans="1:6" s="1" customFormat="1" ht="12.75" x14ac:dyDescent="0.2">
      <c r="A48" s="20" t="s">
        <v>75</v>
      </c>
      <c r="B48" s="21"/>
      <c r="C48" s="21"/>
      <c r="D48" s="21"/>
      <c r="E48" s="21"/>
      <c r="F48" s="21"/>
    </row>
    <row r="49" spans="1:6" s="1" customFormat="1" ht="12.75" x14ac:dyDescent="0.2">
      <c r="A49" s="4" t="s">
        <v>86</v>
      </c>
      <c r="B49" s="8"/>
      <c r="C49" s="8"/>
      <c r="D49" s="8"/>
      <c r="E49" s="8"/>
      <c r="F49" s="18">
        <f t="shared" ref="F49" si="27">F20*12</f>
        <v>31500</v>
      </c>
    </row>
    <row r="50" spans="1:6" s="1" customFormat="1" x14ac:dyDescent="0.25">
      <c r="A50" s="2" t="s">
        <v>85</v>
      </c>
      <c r="B50" s="8"/>
      <c r="C50" s="8"/>
      <c r="D50" s="8"/>
      <c r="E50" s="8"/>
      <c r="F50" s="18">
        <f t="shared" ref="F50" si="28">F21*12</f>
        <v>8820</v>
      </c>
    </row>
    <row r="51" spans="1:6" s="1" customFormat="1" ht="12.75" x14ac:dyDescent="0.2">
      <c r="A51" s="4" t="s">
        <v>0</v>
      </c>
      <c r="B51" s="8"/>
      <c r="C51" s="8"/>
      <c r="D51" s="8"/>
      <c r="E51" s="8"/>
      <c r="F51" s="18">
        <f t="shared" ref="F51" si="29">F22*12</f>
        <v>1890</v>
      </c>
    </row>
    <row r="52" spans="1:6" s="1" customFormat="1" ht="12.75" x14ac:dyDescent="0.2">
      <c r="A52" s="4" t="s">
        <v>1</v>
      </c>
      <c r="B52" s="8"/>
      <c r="C52" s="8"/>
      <c r="D52" s="8"/>
      <c r="E52" s="8"/>
      <c r="F52" s="18">
        <f t="shared" ref="F52" si="30">F23*12</f>
        <v>1512</v>
      </c>
    </row>
    <row r="53" spans="1:6" s="1" customFormat="1" ht="12.75" x14ac:dyDescent="0.2">
      <c r="A53" s="4" t="s">
        <v>2</v>
      </c>
      <c r="B53" s="8"/>
      <c r="C53" s="8"/>
      <c r="D53" s="8"/>
      <c r="E53" s="8"/>
      <c r="F53" s="18">
        <f t="shared" ref="F53" si="31">F24*12</f>
        <v>1890</v>
      </c>
    </row>
    <row r="54" spans="1:6" s="1" customFormat="1" ht="12.75" x14ac:dyDescent="0.2">
      <c r="A54" s="22" t="s">
        <v>81</v>
      </c>
      <c r="B54" s="8"/>
      <c r="C54" s="8"/>
      <c r="D54" s="8"/>
      <c r="E54" s="8"/>
      <c r="F54" s="18">
        <f t="shared" ref="F54" si="32">F25*12</f>
        <v>1260</v>
      </c>
    </row>
    <row r="55" spans="1:6" s="1" customFormat="1" ht="12.75" x14ac:dyDescent="0.2">
      <c r="A55" s="22" t="s">
        <v>83</v>
      </c>
      <c r="B55" s="8"/>
      <c r="C55" s="8"/>
      <c r="D55" s="8"/>
      <c r="E55" s="8"/>
      <c r="F55" s="18">
        <f t="shared" ref="F55" si="33">F26*12</f>
        <v>1008</v>
      </c>
    </row>
    <row r="56" spans="1:6" s="1" customFormat="1" ht="12.75" x14ac:dyDescent="0.2">
      <c r="A56" s="24" t="s">
        <v>5</v>
      </c>
      <c r="B56" s="25">
        <f t="shared" ref="B56:F56" si="34">B27*12</f>
        <v>55800</v>
      </c>
      <c r="C56" s="25">
        <f t="shared" si="34"/>
        <v>60390</v>
      </c>
      <c r="D56" s="25">
        <f t="shared" si="34"/>
        <v>98027.4</v>
      </c>
      <c r="E56" s="25">
        <f t="shared" si="34"/>
        <v>117689.72399999999</v>
      </c>
      <c r="F56" s="25">
        <f t="shared" si="34"/>
        <v>142017.49223999999</v>
      </c>
    </row>
  </sheetData>
  <mergeCells count="2">
    <mergeCell ref="A1:F1"/>
    <mergeCell ref="A30:F3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zoomScale="145" zoomScaleNormal="145" workbookViewId="0">
      <selection sqref="A1:F1"/>
    </sheetView>
  </sheetViews>
  <sheetFormatPr defaultRowHeight="15" x14ac:dyDescent="0.25"/>
  <cols>
    <col min="1" max="1" width="51.6640625" style="2" bestFit="1" customWidth="1"/>
    <col min="2" max="2" width="15.33203125" style="3" bestFit="1" customWidth="1"/>
    <col min="3" max="4" width="12.33203125" style="2" bestFit="1" customWidth="1"/>
    <col min="5" max="6" width="13.6640625" style="1" bestFit="1" customWidth="1"/>
    <col min="7" max="7" width="11.6640625" style="1" bestFit="1" customWidth="1"/>
    <col min="8" max="8" width="9.33203125" style="2"/>
    <col min="9" max="16384" width="9.33203125" style="1"/>
  </cols>
  <sheetData>
    <row r="1" spans="1:8" x14ac:dyDescent="0.25">
      <c r="A1" s="67" t="s">
        <v>100</v>
      </c>
      <c r="B1" s="67"/>
      <c r="C1" s="67"/>
      <c r="D1" s="67"/>
      <c r="E1" s="67"/>
      <c r="F1" s="67"/>
    </row>
    <row r="2" spans="1:8" x14ac:dyDescent="0.25">
      <c r="A2" s="19"/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20" t="s">
        <v>76</v>
      </c>
      <c r="B3" s="21"/>
      <c r="C3" s="21"/>
      <c r="D3" s="21"/>
      <c r="E3" s="21"/>
      <c r="F3" s="21"/>
      <c r="G3" s="1" t="s">
        <v>78</v>
      </c>
      <c r="H3" s="26">
        <v>0.05</v>
      </c>
    </row>
    <row r="4" spans="1:8" x14ac:dyDescent="0.25">
      <c r="A4" s="4" t="s">
        <v>95</v>
      </c>
      <c r="B4" s="18">
        <f>7*3500</f>
        <v>24500</v>
      </c>
      <c r="C4" s="18">
        <f>2*3500</f>
        <v>7000</v>
      </c>
      <c r="D4" s="18">
        <f>7*3800</f>
        <v>26600</v>
      </c>
      <c r="E4" s="18">
        <f>2*3800</f>
        <v>7600</v>
      </c>
      <c r="F4" s="18">
        <v>0</v>
      </c>
      <c r="G4" s="1" t="s">
        <v>82</v>
      </c>
      <c r="H4" s="26">
        <v>0.2</v>
      </c>
    </row>
    <row r="5" spans="1:8" x14ac:dyDescent="0.25">
      <c r="A5" s="2" t="s">
        <v>96</v>
      </c>
      <c r="B5" s="18">
        <f>7*2000</f>
        <v>14000</v>
      </c>
      <c r="C5" s="18">
        <f>2*2000</f>
        <v>4000</v>
      </c>
      <c r="D5" s="18">
        <f>12*2200</f>
        <v>26400</v>
      </c>
      <c r="E5" s="18">
        <f>4*2200</f>
        <v>8800</v>
      </c>
      <c r="F5" s="18">
        <v>0</v>
      </c>
    </row>
    <row r="6" spans="1:8" x14ac:dyDescent="0.25">
      <c r="A6" s="2" t="s">
        <v>99</v>
      </c>
      <c r="B6" s="18">
        <f>1600+2600+1900+1300</f>
        <v>7400</v>
      </c>
      <c r="C6" s="18">
        <f>B6*(1+$H$3)</f>
        <v>7770</v>
      </c>
      <c r="D6" s="18">
        <f t="shared" ref="D6:F6" si="0">C6*(1+$H$3)</f>
        <v>8158.5</v>
      </c>
      <c r="E6" s="18">
        <f t="shared" si="0"/>
        <v>8566.4250000000011</v>
      </c>
      <c r="F6" s="18">
        <f t="shared" si="0"/>
        <v>8994.746250000002</v>
      </c>
    </row>
    <row r="7" spans="1:8" x14ac:dyDescent="0.25">
      <c r="A7" s="2" t="s">
        <v>87</v>
      </c>
      <c r="B7" s="18">
        <v>10000</v>
      </c>
      <c r="C7" s="18">
        <v>0</v>
      </c>
      <c r="D7" s="18">
        <v>0</v>
      </c>
      <c r="E7" s="18">
        <v>0</v>
      </c>
      <c r="F7" s="18">
        <v>0</v>
      </c>
    </row>
    <row r="8" spans="1:8" x14ac:dyDescent="0.25">
      <c r="A8" s="4" t="s">
        <v>88</v>
      </c>
      <c r="B8" s="18">
        <v>1500</v>
      </c>
      <c r="C8" s="18">
        <v>0</v>
      </c>
      <c r="D8" s="18">
        <v>1650</v>
      </c>
      <c r="E8" s="18">
        <v>0</v>
      </c>
      <c r="F8" s="18">
        <v>0</v>
      </c>
    </row>
    <row r="9" spans="1:8" x14ac:dyDescent="0.25">
      <c r="A9" s="4" t="s">
        <v>89</v>
      </c>
      <c r="B9" s="18">
        <v>900</v>
      </c>
      <c r="C9" s="18">
        <v>0</v>
      </c>
      <c r="D9" s="18">
        <v>900</v>
      </c>
      <c r="E9" s="18">
        <v>0</v>
      </c>
      <c r="F9" s="18">
        <v>0</v>
      </c>
    </row>
    <row r="10" spans="1:8" x14ac:dyDescent="0.25">
      <c r="A10" s="4" t="s">
        <v>91</v>
      </c>
      <c r="B10" s="18">
        <f>2*3500</f>
        <v>7000</v>
      </c>
      <c r="C10" s="18">
        <v>0</v>
      </c>
      <c r="D10" s="18">
        <v>3600</v>
      </c>
      <c r="E10" s="18"/>
      <c r="F10" s="18">
        <v>3600</v>
      </c>
    </row>
    <row r="11" spans="1:8" x14ac:dyDescent="0.25">
      <c r="A11" s="1" t="s">
        <v>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</row>
    <row r="12" spans="1:8" x14ac:dyDescent="0.25">
      <c r="A12" s="22" t="s">
        <v>90</v>
      </c>
      <c r="B12" s="18">
        <v>400</v>
      </c>
      <c r="C12" s="18">
        <v>0</v>
      </c>
      <c r="D12" s="18">
        <v>2000</v>
      </c>
      <c r="E12" s="18">
        <v>0</v>
      </c>
      <c r="F12" s="18">
        <v>2000</v>
      </c>
    </row>
    <row r="13" spans="1:8" x14ac:dyDescent="0.25">
      <c r="A13" s="22" t="s">
        <v>92</v>
      </c>
      <c r="B13" s="18">
        <f>14*850</f>
        <v>11900</v>
      </c>
      <c r="C13" s="18">
        <v>0</v>
      </c>
      <c r="D13" s="18">
        <f>7*950</f>
        <v>6650</v>
      </c>
      <c r="E13" s="18">
        <v>0</v>
      </c>
      <c r="F13" s="18">
        <f>5*950</f>
        <v>4750</v>
      </c>
    </row>
    <row r="14" spans="1:8" x14ac:dyDescent="0.25">
      <c r="A14" s="22" t="s">
        <v>93</v>
      </c>
      <c r="B14" s="18">
        <f>17*650</f>
        <v>11050</v>
      </c>
      <c r="C14" s="18">
        <v>0</v>
      </c>
      <c r="D14" s="18">
        <f>7*750</f>
        <v>5250</v>
      </c>
      <c r="E14" s="18">
        <v>0</v>
      </c>
      <c r="F14" s="18">
        <f>5*750</f>
        <v>3750</v>
      </c>
    </row>
    <row r="15" spans="1:8" x14ac:dyDescent="0.25">
      <c r="A15" s="22" t="s">
        <v>94</v>
      </c>
      <c r="B15" s="18">
        <f>14*50</f>
        <v>700</v>
      </c>
      <c r="C15" s="18">
        <v>0</v>
      </c>
      <c r="D15" s="18">
        <f>7*60</f>
        <v>420</v>
      </c>
      <c r="E15" s="18">
        <v>0</v>
      </c>
      <c r="F15" s="18">
        <f>5*60</f>
        <v>300</v>
      </c>
    </row>
    <row r="16" spans="1:8" x14ac:dyDescent="0.25">
      <c r="A16" s="22" t="s">
        <v>3</v>
      </c>
      <c r="B16" s="18">
        <f>2*380</f>
        <v>760</v>
      </c>
      <c r="C16" s="18">
        <v>0</v>
      </c>
      <c r="D16" s="18">
        <f>2*395</f>
        <v>790</v>
      </c>
      <c r="E16" s="18">
        <v>0</v>
      </c>
      <c r="F16" s="18">
        <f>2*395</f>
        <v>790</v>
      </c>
    </row>
    <row r="17" spans="1:8" x14ac:dyDescent="0.25">
      <c r="A17" s="20" t="s">
        <v>74</v>
      </c>
      <c r="B17" s="21"/>
      <c r="C17" s="21"/>
      <c r="D17" s="21"/>
      <c r="E17" s="21"/>
      <c r="F17" s="21"/>
    </row>
    <row r="18" spans="1:8" x14ac:dyDescent="0.25">
      <c r="A18" s="4" t="s">
        <v>95</v>
      </c>
      <c r="B18" s="8"/>
      <c r="C18" s="8"/>
      <c r="D18" s="8"/>
      <c r="E18" s="8"/>
      <c r="F18" s="8"/>
    </row>
    <row r="19" spans="1:8" x14ac:dyDescent="0.25">
      <c r="A19" s="2" t="s">
        <v>96</v>
      </c>
      <c r="B19" s="8"/>
      <c r="C19" s="8"/>
      <c r="D19" s="18">
        <f>2*2200</f>
        <v>4400</v>
      </c>
      <c r="E19" s="18">
        <v>0</v>
      </c>
      <c r="F19" s="18">
        <v>0</v>
      </c>
    </row>
    <row r="20" spans="1:8" x14ac:dyDescent="0.25">
      <c r="A20" s="2" t="s">
        <v>99</v>
      </c>
      <c r="B20" s="8"/>
      <c r="C20" s="8"/>
      <c r="D20" s="18">
        <v>0</v>
      </c>
      <c r="E20" s="18">
        <v>0</v>
      </c>
      <c r="F20" s="18">
        <v>0</v>
      </c>
    </row>
    <row r="21" spans="1:8" x14ac:dyDescent="0.25">
      <c r="A21" s="2" t="s">
        <v>87</v>
      </c>
      <c r="B21" s="8"/>
      <c r="C21" s="8"/>
      <c r="D21" s="18">
        <v>0</v>
      </c>
      <c r="E21" s="18">
        <f t="shared" ref="E21:F30" si="1">D21*(1+$H$3)</f>
        <v>0</v>
      </c>
      <c r="F21" s="18">
        <f t="shared" si="1"/>
        <v>0</v>
      </c>
    </row>
    <row r="22" spans="1:8" x14ac:dyDescent="0.25">
      <c r="A22" s="4" t="s">
        <v>88</v>
      </c>
      <c r="B22" s="8"/>
      <c r="C22" s="8"/>
      <c r="D22" s="18">
        <v>1650</v>
      </c>
      <c r="E22" s="18">
        <v>0</v>
      </c>
      <c r="F22" s="18">
        <f t="shared" si="1"/>
        <v>0</v>
      </c>
    </row>
    <row r="23" spans="1:8" x14ac:dyDescent="0.25">
      <c r="A23" s="4" t="s">
        <v>89</v>
      </c>
      <c r="B23" s="8"/>
      <c r="C23" s="8"/>
      <c r="D23" s="18">
        <v>150</v>
      </c>
      <c r="E23" s="18">
        <v>0</v>
      </c>
      <c r="F23" s="18">
        <f t="shared" si="1"/>
        <v>0</v>
      </c>
    </row>
    <row r="24" spans="1:8" x14ac:dyDescent="0.25">
      <c r="A24" s="4" t="s">
        <v>91</v>
      </c>
      <c r="B24" s="8"/>
      <c r="C24" s="8"/>
      <c r="D24" s="18">
        <v>3600</v>
      </c>
      <c r="E24" s="18">
        <v>0</v>
      </c>
      <c r="F24" s="18">
        <f t="shared" si="1"/>
        <v>0</v>
      </c>
    </row>
    <row r="25" spans="1:8" ht="12.75" x14ac:dyDescent="0.2">
      <c r="A25" s="1" t="s">
        <v>4</v>
      </c>
      <c r="B25" s="8"/>
      <c r="C25" s="8"/>
      <c r="D25" s="18">
        <v>0</v>
      </c>
      <c r="E25" s="18">
        <v>0</v>
      </c>
      <c r="F25" s="18">
        <f t="shared" si="1"/>
        <v>0</v>
      </c>
      <c r="H25" s="1"/>
    </row>
    <row r="26" spans="1:8" ht="12.75" x14ac:dyDescent="0.2">
      <c r="A26" s="22" t="s">
        <v>90</v>
      </c>
      <c r="B26" s="8"/>
      <c r="C26" s="8"/>
      <c r="D26" s="18">
        <v>150</v>
      </c>
      <c r="E26" s="18">
        <v>0</v>
      </c>
      <c r="F26" s="18">
        <f t="shared" si="1"/>
        <v>0</v>
      </c>
      <c r="H26" s="1"/>
    </row>
    <row r="27" spans="1:8" ht="12.75" x14ac:dyDescent="0.2">
      <c r="A27" s="22" t="s">
        <v>92</v>
      </c>
      <c r="B27" s="8"/>
      <c r="C27" s="8"/>
      <c r="D27" s="18">
        <f>3*1000</f>
        <v>3000</v>
      </c>
      <c r="E27" s="18">
        <v>0</v>
      </c>
      <c r="F27" s="18">
        <f t="shared" si="1"/>
        <v>0</v>
      </c>
      <c r="H27" s="1"/>
    </row>
    <row r="28" spans="1:8" ht="12.75" x14ac:dyDescent="0.2">
      <c r="A28" s="22" t="s">
        <v>93</v>
      </c>
      <c r="B28" s="8"/>
      <c r="C28" s="8"/>
      <c r="D28" s="18">
        <f>6*750</f>
        <v>4500</v>
      </c>
      <c r="E28" s="18">
        <v>0</v>
      </c>
      <c r="F28" s="18">
        <f t="shared" si="1"/>
        <v>0</v>
      </c>
      <c r="H28" s="1"/>
    </row>
    <row r="29" spans="1:8" ht="12.75" x14ac:dyDescent="0.2">
      <c r="A29" s="22" t="s">
        <v>94</v>
      </c>
      <c r="B29" s="8"/>
      <c r="C29" s="8"/>
      <c r="D29" s="18">
        <v>100</v>
      </c>
      <c r="E29" s="18">
        <v>0</v>
      </c>
      <c r="F29" s="18">
        <f t="shared" si="1"/>
        <v>0</v>
      </c>
      <c r="H29" s="1"/>
    </row>
    <row r="30" spans="1:8" ht="12.75" x14ac:dyDescent="0.2">
      <c r="A30" s="22" t="s">
        <v>3</v>
      </c>
      <c r="B30" s="8"/>
      <c r="C30" s="8"/>
      <c r="D30" s="18">
        <v>395</v>
      </c>
      <c r="E30" s="18">
        <v>0</v>
      </c>
      <c r="F30" s="18">
        <f t="shared" si="1"/>
        <v>0</v>
      </c>
      <c r="H30" s="1"/>
    </row>
    <row r="31" spans="1:8" ht="12.75" x14ac:dyDescent="0.2">
      <c r="A31" s="20" t="s">
        <v>75</v>
      </c>
      <c r="B31" s="21"/>
      <c r="C31" s="21"/>
      <c r="D31" s="21"/>
      <c r="E31" s="21"/>
      <c r="F31" s="21"/>
      <c r="H31" s="1"/>
    </row>
    <row r="32" spans="1:8" ht="12.75" x14ac:dyDescent="0.2">
      <c r="A32" s="4" t="s">
        <v>95</v>
      </c>
      <c r="B32" s="8"/>
      <c r="C32" s="8"/>
      <c r="D32" s="8"/>
      <c r="E32" s="8"/>
      <c r="F32" s="8"/>
      <c r="H32" s="1"/>
    </row>
    <row r="33" spans="1:8" x14ac:dyDescent="0.25">
      <c r="A33" s="2" t="s">
        <v>96</v>
      </c>
      <c r="B33" s="8"/>
      <c r="C33" s="8"/>
      <c r="D33" s="8"/>
      <c r="E33" s="8"/>
      <c r="F33" s="18">
        <f>2*2200</f>
        <v>4400</v>
      </c>
      <c r="H33" s="1"/>
    </row>
    <row r="34" spans="1:8" x14ac:dyDescent="0.25">
      <c r="A34" s="2" t="s">
        <v>99</v>
      </c>
      <c r="B34" s="8"/>
      <c r="C34" s="8"/>
      <c r="D34" s="8"/>
      <c r="E34" s="8"/>
      <c r="F34" s="18">
        <v>0</v>
      </c>
      <c r="H34" s="1"/>
    </row>
    <row r="35" spans="1:8" x14ac:dyDescent="0.25">
      <c r="A35" s="2" t="s">
        <v>87</v>
      </c>
      <c r="B35" s="8"/>
      <c r="C35" s="8"/>
      <c r="D35" s="8"/>
      <c r="E35" s="8"/>
      <c r="F35" s="18">
        <v>0</v>
      </c>
      <c r="H35" s="1"/>
    </row>
    <row r="36" spans="1:8" ht="12.75" x14ac:dyDescent="0.2">
      <c r="A36" s="4" t="s">
        <v>88</v>
      </c>
      <c r="B36" s="8"/>
      <c r="C36" s="8"/>
      <c r="D36" s="8"/>
      <c r="E36" s="8"/>
      <c r="F36" s="18">
        <v>1650</v>
      </c>
      <c r="H36" s="1"/>
    </row>
    <row r="37" spans="1:8" ht="12.75" x14ac:dyDescent="0.2">
      <c r="A37" s="4" t="s">
        <v>89</v>
      </c>
      <c r="B37" s="8"/>
      <c r="C37" s="8"/>
      <c r="D37" s="8"/>
      <c r="E37" s="8"/>
      <c r="F37" s="18">
        <v>150</v>
      </c>
      <c r="H37" s="1"/>
    </row>
    <row r="38" spans="1:8" ht="12.75" x14ac:dyDescent="0.2">
      <c r="A38" s="4" t="s">
        <v>91</v>
      </c>
      <c r="B38" s="8"/>
      <c r="C38" s="8"/>
      <c r="D38" s="8"/>
      <c r="E38" s="8"/>
      <c r="F38" s="18">
        <v>3600</v>
      </c>
      <c r="H38" s="1"/>
    </row>
    <row r="39" spans="1:8" ht="12.75" x14ac:dyDescent="0.2">
      <c r="A39" s="1" t="s">
        <v>4</v>
      </c>
      <c r="B39" s="8"/>
      <c r="C39" s="8"/>
      <c r="D39" s="8"/>
      <c r="E39" s="8"/>
      <c r="F39" s="18">
        <v>0</v>
      </c>
      <c r="H39" s="1"/>
    </row>
    <row r="40" spans="1:8" ht="12.75" x14ac:dyDescent="0.2">
      <c r="A40" s="22" t="s">
        <v>90</v>
      </c>
      <c r="B40" s="8"/>
      <c r="C40" s="8"/>
      <c r="D40" s="8"/>
      <c r="E40" s="8"/>
      <c r="F40" s="18">
        <v>150</v>
      </c>
      <c r="H40" s="1"/>
    </row>
    <row r="41" spans="1:8" ht="12.75" x14ac:dyDescent="0.2">
      <c r="A41" s="22" t="s">
        <v>92</v>
      </c>
      <c r="B41" s="8"/>
      <c r="C41" s="8"/>
      <c r="D41" s="8"/>
      <c r="E41" s="8"/>
      <c r="F41" s="18">
        <f>3*1000</f>
        <v>3000</v>
      </c>
      <c r="H41" s="1"/>
    </row>
    <row r="42" spans="1:8" ht="12.75" x14ac:dyDescent="0.2">
      <c r="A42" s="22" t="s">
        <v>93</v>
      </c>
      <c r="B42" s="8"/>
      <c r="C42" s="8"/>
      <c r="D42" s="8"/>
      <c r="E42" s="8"/>
      <c r="F42" s="18">
        <f>6*750</f>
        <v>4500</v>
      </c>
      <c r="H42" s="1"/>
    </row>
    <row r="43" spans="1:8" ht="12.75" x14ac:dyDescent="0.2">
      <c r="A43" s="22" t="s">
        <v>94</v>
      </c>
      <c r="B43" s="8"/>
      <c r="C43" s="8"/>
      <c r="D43" s="8"/>
      <c r="E43" s="8"/>
      <c r="F43" s="18">
        <v>100</v>
      </c>
      <c r="H43" s="1"/>
    </row>
    <row r="44" spans="1:8" ht="12.75" x14ac:dyDescent="0.2">
      <c r="A44" s="22" t="s">
        <v>3</v>
      </c>
      <c r="B44" s="8"/>
      <c r="C44" s="8"/>
      <c r="D44" s="8"/>
      <c r="E44" s="8"/>
      <c r="F44" s="18">
        <v>400</v>
      </c>
      <c r="H44" s="1"/>
    </row>
    <row r="45" spans="1:8" ht="12.75" x14ac:dyDescent="0.2">
      <c r="A45" s="24" t="s">
        <v>5</v>
      </c>
      <c r="B45" s="25">
        <f>SUM(B4:B18)</f>
        <v>90110</v>
      </c>
      <c r="C45" s="25">
        <f>SUM(C4:C18)</f>
        <v>18770</v>
      </c>
      <c r="D45" s="25">
        <f>SUM(D4:D18)</f>
        <v>82418.5</v>
      </c>
      <c r="E45" s="25">
        <f>SUM(E4:E18)</f>
        <v>24966.425000000003</v>
      </c>
      <c r="F45" s="25">
        <f>SUM(F4:F18)</f>
        <v>24184.746250000004</v>
      </c>
      <c r="H45" s="1"/>
    </row>
    <row r="46" spans="1:8" ht="12.75" x14ac:dyDescent="0.2">
      <c r="A46" s="4"/>
      <c r="B46" s="4"/>
      <c r="C46" s="4"/>
      <c r="D46" s="4"/>
      <c r="E46" s="4"/>
      <c r="F46" s="4"/>
      <c r="H46" s="1"/>
    </row>
    <row r="47" spans="1:8" ht="12.75" x14ac:dyDescent="0.2">
      <c r="A47" s="4"/>
      <c r="B47" s="4"/>
      <c r="C47" s="4"/>
      <c r="D47" s="4"/>
      <c r="E47" s="4"/>
      <c r="F47" s="4"/>
      <c r="H47" s="1"/>
    </row>
  </sheetData>
  <mergeCells count="1">
    <mergeCell ref="A1: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90" zoomScaleNormal="190" workbookViewId="0">
      <selection activeCell="A4" sqref="A4"/>
    </sheetView>
  </sheetViews>
  <sheetFormatPr defaultRowHeight="12.75" x14ac:dyDescent="0.2"/>
  <cols>
    <col min="1" max="1" width="20.5" customWidth="1"/>
    <col min="2" max="6" width="15.33203125" bestFit="1" customWidth="1"/>
  </cols>
  <sheetData>
    <row r="1" spans="1:7" ht="15" x14ac:dyDescent="0.25">
      <c r="A1" s="66" t="s">
        <v>101</v>
      </c>
      <c r="B1" s="66"/>
      <c r="C1" s="66"/>
      <c r="D1" s="66"/>
      <c r="E1" s="66"/>
      <c r="F1" s="66"/>
    </row>
    <row r="2" spans="1:7" ht="15" x14ac:dyDescent="0.25">
      <c r="A2" s="5"/>
      <c r="B2" s="5" t="s">
        <v>149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7" x14ac:dyDescent="0.2">
      <c r="A3" s="11" t="s">
        <v>163</v>
      </c>
      <c r="B3" s="10">
        <f>('RH - Mensal x ANO'!B134)/G3</f>
        <v>242075</v>
      </c>
      <c r="C3" s="10">
        <f>'RH - Mensal x ANO'!C134</f>
        <v>688446</v>
      </c>
      <c r="D3" s="10">
        <f>'RH - Mensal x ANO'!D134</f>
        <v>1180060.2000000002</v>
      </c>
      <c r="E3" s="10">
        <f>'RH - Mensal x ANO'!E134</f>
        <v>1313962.9200000004</v>
      </c>
      <c r="F3" s="10">
        <f>'RH - Mensal x ANO'!F134</f>
        <v>2620936.4700000007</v>
      </c>
      <c r="G3">
        <v>2.4</v>
      </c>
    </row>
    <row r="4" spans="1:7" x14ac:dyDescent="0.2">
      <c r="A4" s="27" t="s">
        <v>162</v>
      </c>
      <c r="B4" s="18">
        <f>('ST - Mensal x ANO'!B52-('ST - Mensal x ANO'!B37+'ST - Mensal x ANO'!B38))/G3</f>
        <v>38926.666666666672</v>
      </c>
      <c r="C4" s="18">
        <f>'ST - Mensal x ANO'!C52-('ST - Mensal x ANO'!C37+'ST - Mensal x ANO'!C38)</f>
        <v>82142.399999999907</v>
      </c>
      <c r="D4" s="18">
        <f>'ST - Mensal x ANO'!D52-('ST - Mensal x ANO'!D37+'ST - Mensal x ANO'!D38)</f>
        <v>168338.68000000017</v>
      </c>
      <c r="E4" s="18">
        <f>'ST - Mensal x ANO'!E52-('ST - Mensal x ANO'!E37+'ST - Mensal x ANO'!E38)</f>
        <v>176117.74800000014</v>
      </c>
      <c r="F4" s="18">
        <f>'ST - Mensal x ANO'!F52-('ST - Mensal x ANO'!F37+'ST - Mensal x ANO'!F38)</f>
        <v>246396.6827999996</v>
      </c>
    </row>
    <row r="5" spans="1:7" x14ac:dyDescent="0.2">
      <c r="A5" s="11" t="s">
        <v>18</v>
      </c>
      <c r="B5" s="21">
        <f>(('ST - Mensal x ANO'!B37+'ST - Mensal x ANO'!B38))/G3</f>
        <v>233333.33333333334</v>
      </c>
      <c r="C5" s="21">
        <f>('ST - Mensal x ANO'!C37+'ST - Mensal x ANO'!C38)</f>
        <v>462000</v>
      </c>
      <c r="D5" s="21">
        <f>('ST - Mensal x ANO'!D37+'ST - Mensal x ANO'!D38)</f>
        <v>1064000</v>
      </c>
      <c r="E5" s="21">
        <f>('ST - Mensal x ANO'!E37+'ST - Mensal x ANO'!E38)</f>
        <v>1016400</v>
      </c>
      <c r="F5" s="21">
        <f>('ST - Mensal x ANO'!F37+'ST - Mensal x ANO'!F38)</f>
        <v>3249200</v>
      </c>
    </row>
    <row r="6" spans="1:7" x14ac:dyDescent="0.2">
      <c r="A6" s="27" t="s">
        <v>161</v>
      </c>
      <c r="B6" s="18">
        <f>('DESP. OPERACIONAIS'!B56)/G3</f>
        <v>23250</v>
      </c>
      <c r="C6" s="18">
        <f>'DESP. OPERACIONAIS'!C56</f>
        <v>60390</v>
      </c>
      <c r="D6" s="18">
        <f>'DESP. OPERACIONAIS'!D56</f>
        <v>98027.4</v>
      </c>
      <c r="E6" s="18">
        <f>'DESP. OPERACIONAIS'!E56</f>
        <v>117689.72399999999</v>
      </c>
      <c r="F6" s="18">
        <f>'DESP. OPERACIONAIS'!F56</f>
        <v>142017.49223999999</v>
      </c>
    </row>
    <row r="7" spans="1:7" x14ac:dyDescent="0.2">
      <c r="A7" s="11" t="s">
        <v>160</v>
      </c>
      <c r="B7" s="21">
        <f>(INFRAESTRUTURA!B45)/G3</f>
        <v>37545.833333333336</v>
      </c>
      <c r="C7" s="21">
        <f>INFRAESTRUTURA!C45</f>
        <v>18770</v>
      </c>
      <c r="D7" s="21">
        <f>INFRAESTRUTURA!D45</f>
        <v>82418.5</v>
      </c>
      <c r="E7" s="21">
        <f>INFRAESTRUTURA!E45</f>
        <v>24966.425000000003</v>
      </c>
      <c r="F7" s="21">
        <f>INFRAESTRUTURA!F45</f>
        <v>24184.746250000004</v>
      </c>
    </row>
    <row r="8" spans="1:7" x14ac:dyDescent="0.2">
      <c r="A8" s="27" t="s">
        <v>159</v>
      </c>
      <c r="B8" s="18">
        <f>(SUM(B3:B7)*0.2)/G3</f>
        <v>47927.569444444453</v>
      </c>
      <c r="C8" s="18">
        <f>SUM(C3:C7)*0.15</f>
        <v>196762.25999999998</v>
      </c>
      <c r="D8" s="18">
        <f t="shared" ref="D8:F8" si="0">SUM(D3:D7)*0.15</f>
        <v>388926.717</v>
      </c>
      <c r="E8" s="18">
        <f t="shared" si="0"/>
        <v>397370.52255000005</v>
      </c>
      <c r="F8" s="18">
        <f t="shared" si="0"/>
        <v>942410.30869349989</v>
      </c>
    </row>
    <row r="9" spans="1:7" x14ac:dyDescent="0.2">
      <c r="A9" s="11"/>
      <c r="B9" s="21"/>
      <c r="C9" s="21"/>
      <c r="D9" s="21"/>
      <c r="E9" s="21"/>
      <c r="F9" s="21"/>
    </row>
    <row r="10" spans="1:7" x14ac:dyDescent="0.2">
      <c r="A10" s="27" t="s">
        <v>5</v>
      </c>
      <c r="B10" s="28">
        <f>SUM(B3:B9)</f>
        <v>623058.40277777787</v>
      </c>
      <c r="C10" s="28">
        <f t="shared" ref="C10:F10" si="1">SUM(C3:C9)</f>
        <v>1508510.66</v>
      </c>
      <c r="D10" s="28">
        <f t="shared" si="1"/>
        <v>2981771.4970000004</v>
      </c>
      <c r="E10" s="28">
        <f t="shared" si="1"/>
        <v>3046507.3395500001</v>
      </c>
      <c r="F10" s="28">
        <f t="shared" si="1"/>
        <v>7225145.6999834999</v>
      </c>
    </row>
    <row r="11" spans="1:7" x14ac:dyDescent="0.2">
      <c r="A11" s="11"/>
      <c r="B11" s="21"/>
      <c r="C11" s="21"/>
      <c r="D11" s="21"/>
      <c r="E11" s="21"/>
      <c r="F11" s="2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topLeftCell="A31" zoomScale="130" zoomScaleNormal="130" workbookViewId="0">
      <selection activeCell="C35" sqref="C35"/>
    </sheetView>
  </sheetViews>
  <sheetFormatPr defaultRowHeight="12.75" x14ac:dyDescent="0.2"/>
  <cols>
    <col min="1" max="1" width="24.33203125" style="4" bestFit="1" customWidth="1"/>
    <col min="2" max="2" width="20" style="4" bestFit="1" customWidth="1"/>
    <col min="3" max="3" width="15.83203125" style="4" bestFit="1" customWidth="1"/>
    <col min="4" max="5" width="14.6640625" style="4" bestFit="1" customWidth="1"/>
    <col min="6" max="12" width="15.83203125" style="4" bestFit="1" customWidth="1"/>
    <col min="13" max="13" width="1.1640625" style="4" customWidth="1"/>
    <col min="14" max="14" width="32.33203125" style="4" bestFit="1" customWidth="1"/>
    <col min="15" max="15" width="13.6640625" style="4" bestFit="1" customWidth="1"/>
    <col min="16" max="16384" width="9.33203125" style="4"/>
  </cols>
  <sheetData>
    <row r="1" spans="1:15" ht="13.5" thickBot="1" x14ac:dyDescent="0.25">
      <c r="A1" s="68" t="s">
        <v>102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N1" s="22" t="s">
        <v>103</v>
      </c>
      <c r="O1" s="33">
        <v>0.25</v>
      </c>
    </row>
    <row r="2" spans="1:15" ht="13.5" thickBot="1" x14ac:dyDescent="0.25">
      <c r="A2" s="34"/>
      <c r="B2" s="35" t="s">
        <v>104</v>
      </c>
      <c r="C2" s="35" t="s">
        <v>105</v>
      </c>
      <c r="D2" s="35" t="s">
        <v>106</v>
      </c>
      <c r="E2" s="64" t="s">
        <v>107</v>
      </c>
      <c r="F2" s="35" t="s">
        <v>108</v>
      </c>
      <c r="G2" s="64" t="s">
        <v>109</v>
      </c>
      <c r="H2" s="35" t="s">
        <v>110</v>
      </c>
      <c r="I2" s="35" t="s">
        <v>111</v>
      </c>
      <c r="J2" s="35" t="s">
        <v>112</v>
      </c>
      <c r="K2" s="35" t="s">
        <v>113</v>
      </c>
      <c r="L2" s="36" t="s">
        <v>114</v>
      </c>
      <c r="N2" s="37" t="s">
        <v>115</v>
      </c>
      <c r="O2" s="38">
        <v>5</v>
      </c>
    </row>
    <row r="3" spans="1:15" x14ac:dyDescent="0.2">
      <c r="A3" s="39" t="s">
        <v>116</v>
      </c>
      <c r="B3" s="40">
        <v>0</v>
      </c>
      <c r="C3" s="40">
        <v>3000000</v>
      </c>
      <c r="D3" s="40">
        <f>C3*1.3</f>
        <v>3900000</v>
      </c>
      <c r="E3" s="40">
        <f>D3*1.7</f>
        <v>6630000</v>
      </c>
      <c r="F3" s="40">
        <f>E3*1.2</f>
        <v>7956000</v>
      </c>
      <c r="G3" s="40">
        <f>F3*1.8</f>
        <v>14320800</v>
      </c>
      <c r="H3" s="40">
        <f>G3*1.5</f>
        <v>21481200</v>
      </c>
      <c r="I3" s="40">
        <f>H3*1.3</f>
        <v>27925560</v>
      </c>
      <c r="J3" s="40">
        <f>I3*1.1</f>
        <v>30718116.000000004</v>
      </c>
      <c r="K3" s="40">
        <f>J3*1.05</f>
        <v>32254021.800000004</v>
      </c>
      <c r="L3" s="41">
        <f>K3*1.01</f>
        <v>32576562.018000003</v>
      </c>
      <c r="N3" s="22" t="s">
        <v>117</v>
      </c>
      <c r="O3" s="33">
        <v>0.3</v>
      </c>
    </row>
    <row r="4" spans="1:15" x14ac:dyDescent="0.2">
      <c r="A4" s="42" t="s">
        <v>118</v>
      </c>
      <c r="B4" s="43">
        <v>0</v>
      </c>
      <c r="C4" s="43">
        <f>-SUM(CONSOLIDAÇÃO!B3:B7)</f>
        <v>-575130.83333333337</v>
      </c>
      <c r="D4" s="43">
        <f>-SUM(CONSOLIDAÇÃO!C3:C7)</f>
        <v>-1311748.3999999999</v>
      </c>
      <c r="E4" s="43">
        <f>-SUM(CONSOLIDAÇÃO!D3:D7)</f>
        <v>-2592844.7800000003</v>
      </c>
      <c r="F4" s="43">
        <f>-SUM(CONSOLIDAÇÃO!E3:E7)</f>
        <v>-2649136.8170000003</v>
      </c>
      <c r="G4" s="43">
        <f>-SUM(CONSOLIDAÇÃO!F3:F7)</f>
        <v>-6282735.3912899997</v>
      </c>
      <c r="H4" s="43">
        <f>G4*0.95</f>
        <v>-5968598.6217254996</v>
      </c>
      <c r="I4" s="43">
        <f t="shared" ref="I4:L4" si="0">H4</f>
        <v>-5968598.6217254996</v>
      </c>
      <c r="J4" s="43">
        <f t="shared" si="0"/>
        <v>-5968598.6217254996</v>
      </c>
      <c r="K4" s="43">
        <f t="shared" si="0"/>
        <v>-5968598.6217254996</v>
      </c>
      <c r="L4" s="44">
        <f t="shared" si="0"/>
        <v>-5968598.6217254996</v>
      </c>
      <c r="N4" s="22" t="s">
        <v>119</v>
      </c>
      <c r="O4" s="45">
        <f>O9+(O6*O8)+O13</f>
        <v>0.10153000000000001</v>
      </c>
    </row>
    <row r="5" spans="1:15" x14ac:dyDescent="0.2">
      <c r="A5" s="42" t="s">
        <v>120</v>
      </c>
      <c r="B5" s="43">
        <v>0</v>
      </c>
      <c r="C5" s="43">
        <f>-$O$5*C3</f>
        <v>-600000</v>
      </c>
      <c r="D5" s="43">
        <f t="shared" ref="D5:L5" si="1">-$O$5*D3</f>
        <v>-780000</v>
      </c>
      <c r="E5" s="43">
        <f t="shared" si="1"/>
        <v>-1326000</v>
      </c>
      <c r="F5" s="43">
        <f t="shared" si="1"/>
        <v>-1591200</v>
      </c>
      <c r="G5" s="43">
        <f t="shared" si="1"/>
        <v>-2864160</v>
      </c>
      <c r="H5" s="43">
        <f t="shared" si="1"/>
        <v>-4296240</v>
      </c>
      <c r="I5" s="43">
        <f t="shared" si="1"/>
        <v>-5585112</v>
      </c>
      <c r="J5" s="43">
        <f t="shared" si="1"/>
        <v>-6143623.2000000011</v>
      </c>
      <c r="K5" s="43">
        <f t="shared" si="1"/>
        <v>-6450804.3600000013</v>
      </c>
      <c r="L5" s="44">
        <f t="shared" si="1"/>
        <v>-6515312.4036000008</v>
      </c>
      <c r="N5" s="22" t="s">
        <v>121</v>
      </c>
      <c r="O5" s="17">
        <v>0.2</v>
      </c>
    </row>
    <row r="6" spans="1:15" ht="13.5" thickBot="1" x14ac:dyDescent="0.25">
      <c r="A6" s="46" t="s">
        <v>6</v>
      </c>
      <c r="B6" s="47">
        <v>0</v>
      </c>
      <c r="C6" s="47">
        <f>$B$14/$O$2</f>
        <v>-124611.68055555558</v>
      </c>
      <c r="D6" s="47">
        <f>$B$14/$O$2</f>
        <v>-124611.68055555558</v>
      </c>
      <c r="E6" s="47">
        <f>$B$14/$O$2+D14/$O$2</f>
        <v>-720965.97995555575</v>
      </c>
      <c r="F6" s="47">
        <f>$B$14/$O$2+D14/$O$2</f>
        <v>-720965.97995555575</v>
      </c>
      <c r="G6" s="47">
        <f>$B$14/$O$2+D14/$O$2+F14/$O$2</f>
        <v>-2165995.1199522559</v>
      </c>
      <c r="H6" s="47">
        <f>$B$14/$O$2+D14/$O$2+F14/$O$2+G14/$O$2</f>
        <v>-2165995.1199522559</v>
      </c>
      <c r="I6" s="47">
        <f>$B$14/$O$2+D14/$O$2+F14/$O$2+G14/$O$2</f>
        <v>-2165995.1199522559</v>
      </c>
      <c r="J6" s="47">
        <f>$B$14/$O$2+D14/$O$2+F14/$O$2+G14/$O$2</f>
        <v>-2165995.1199522559</v>
      </c>
      <c r="K6" s="47">
        <f>$B$14/$O$2+D14/$O$2+F14/$O$2+G14/$O$2</f>
        <v>-2165995.1199522559</v>
      </c>
      <c r="L6" s="48">
        <f>$B$14/$O$2+D14/$O$2+F14/$O$2+G14/$O$2</f>
        <v>-2165995.1199522559</v>
      </c>
      <c r="N6" s="22" t="s">
        <v>122</v>
      </c>
      <c r="O6" s="49">
        <v>0.9</v>
      </c>
    </row>
    <row r="7" spans="1:15" x14ac:dyDescent="0.2">
      <c r="A7" s="39" t="s">
        <v>123</v>
      </c>
      <c r="B7" s="40">
        <f t="shared" ref="B7:L7" si="2">SUM(B3:B6)</f>
        <v>0</v>
      </c>
      <c r="C7" s="40">
        <f t="shared" si="2"/>
        <v>1700257.486111111</v>
      </c>
      <c r="D7" s="40">
        <f t="shared" si="2"/>
        <v>1683639.9194444446</v>
      </c>
      <c r="E7" s="40">
        <f t="shared" si="2"/>
        <v>1990189.2400444439</v>
      </c>
      <c r="F7" s="40">
        <f t="shared" si="2"/>
        <v>2994697.2030444443</v>
      </c>
      <c r="G7" s="40">
        <f t="shared" si="2"/>
        <v>3007909.4887577444</v>
      </c>
      <c r="H7" s="40">
        <f t="shared" si="2"/>
        <v>9050366.2583222445</v>
      </c>
      <c r="I7" s="40">
        <f t="shared" si="2"/>
        <v>14205854.258322245</v>
      </c>
      <c r="J7" s="40">
        <f t="shared" si="2"/>
        <v>16439899.058322249</v>
      </c>
      <c r="K7" s="40">
        <f t="shared" si="2"/>
        <v>17668623.698322251</v>
      </c>
      <c r="L7" s="41">
        <f t="shared" si="2"/>
        <v>17926655.872722246</v>
      </c>
      <c r="N7" s="22" t="s">
        <v>124</v>
      </c>
      <c r="O7" s="50">
        <v>5.45E-2</v>
      </c>
    </row>
    <row r="8" spans="1:15" ht="13.5" thickBot="1" x14ac:dyDescent="0.25">
      <c r="A8" s="46" t="s">
        <v>125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8">
        <v>0</v>
      </c>
      <c r="N8" s="22" t="s">
        <v>126</v>
      </c>
      <c r="O8" s="51">
        <v>5.1700000000000003E-2</v>
      </c>
    </row>
    <row r="9" spans="1:15" x14ac:dyDescent="0.2">
      <c r="A9" s="39" t="s">
        <v>127</v>
      </c>
      <c r="B9" s="40">
        <f>SUM(B7:B8)</f>
        <v>0</v>
      </c>
      <c r="C9" s="40">
        <f>SUM(C7:C8)</f>
        <v>1700257.486111111</v>
      </c>
      <c r="D9" s="40">
        <f t="shared" ref="D9:L9" si="3">SUM(D7:D8)</f>
        <v>1683639.9194444446</v>
      </c>
      <c r="E9" s="40">
        <f t="shared" si="3"/>
        <v>1990189.2400444439</v>
      </c>
      <c r="F9" s="40">
        <f t="shared" si="3"/>
        <v>2994697.2030444443</v>
      </c>
      <c r="G9" s="40">
        <f t="shared" si="3"/>
        <v>3007909.4887577444</v>
      </c>
      <c r="H9" s="40">
        <f t="shared" si="3"/>
        <v>9050366.2583222445</v>
      </c>
      <c r="I9" s="40">
        <f t="shared" si="3"/>
        <v>14205854.258322245</v>
      </c>
      <c r="J9" s="40">
        <f t="shared" si="3"/>
        <v>16439899.058322249</v>
      </c>
      <c r="K9" s="40">
        <f t="shared" si="3"/>
        <v>17668623.698322251</v>
      </c>
      <c r="L9" s="41">
        <f t="shared" si="3"/>
        <v>17926655.872722246</v>
      </c>
      <c r="N9" s="22" t="s">
        <v>128</v>
      </c>
      <c r="O9" s="51">
        <v>5.5E-2</v>
      </c>
    </row>
    <row r="10" spans="1:15" ht="13.5" thickBot="1" x14ac:dyDescent="0.25">
      <c r="A10" s="46" t="s">
        <v>129</v>
      </c>
      <c r="B10" s="47">
        <f>-($O$1*B9)</f>
        <v>0</v>
      </c>
      <c r="C10" s="47">
        <f>-($O$1*C9)</f>
        <v>-425064.37152777775</v>
      </c>
      <c r="D10" s="47">
        <f t="shared" ref="D10:L10" si="4">-($O$1*D9)</f>
        <v>-420909.97986111115</v>
      </c>
      <c r="E10" s="47">
        <f t="shared" si="4"/>
        <v>-497547.31001111097</v>
      </c>
      <c r="F10" s="47">
        <f t="shared" si="4"/>
        <v>-748674.30076111108</v>
      </c>
      <c r="G10" s="47">
        <f t="shared" si="4"/>
        <v>-751977.37218943611</v>
      </c>
      <c r="H10" s="47">
        <f t="shared" si="4"/>
        <v>-2262591.5645805611</v>
      </c>
      <c r="I10" s="47">
        <f t="shared" si="4"/>
        <v>-3551463.5645805611</v>
      </c>
      <c r="J10" s="47">
        <f t="shared" si="4"/>
        <v>-4109974.7645805622</v>
      </c>
      <c r="K10" s="47">
        <f t="shared" si="4"/>
        <v>-4417155.9245805629</v>
      </c>
      <c r="L10" s="48">
        <f t="shared" si="4"/>
        <v>-4481663.9681805614</v>
      </c>
      <c r="N10" s="22" t="s">
        <v>130</v>
      </c>
      <c r="O10" s="50">
        <f>O6*(1+O7)</f>
        <v>0.94905000000000006</v>
      </c>
    </row>
    <row r="11" spans="1:15" x14ac:dyDescent="0.2">
      <c r="A11" s="39" t="s">
        <v>131</v>
      </c>
      <c r="B11" s="40">
        <f>SUM(B9:B10)</f>
        <v>0</v>
      </c>
      <c r="C11" s="40">
        <f>SUM(C9:C10)</f>
        <v>1275193.1145833333</v>
      </c>
      <c r="D11" s="40">
        <f t="shared" ref="D11:L11" si="5">SUM(D9:D10)</f>
        <v>1262729.9395833334</v>
      </c>
      <c r="E11" s="40">
        <f t="shared" si="5"/>
        <v>1492641.9300333329</v>
      </c>
      <c r="F11" s="40">
        <f t="shared" si="5"/>
        <v>2246022.9022833332</v>
      </c>
      <c r="G11" s="40">
        <f t="shared" si="5"/>
        <v>2255932.1165683083</v>
      </c>
      <c r="H11" s="40">
        <f t="shared" si="5"/>
        <v>6787774.6937416829</v>
      </c>
      <c r="I11" s="40">
        <f t="shared" si="5"/>
        <v>10654390.693741683</v>
      </c>
      <c r="J11" s="40">
        <f t="shared" si="5"/>
        <v>12329924.293741686</v>
      </c>
      <c r="K11" s="40">
        <f t="shared" si="5"/>
        <v>13251467.773741689</v>
      </c>
      <c r="L11" s="41">
        <f t="shared" si="5"/>
        <v>13444991.904541684</v>
      </c>
      <c r="N11" s="22" t="s">
        <v>132</v>
      </c>
      <c r="O11" s="17">
        <v>0.15</v>
      </c>
    </row>
    <row r="12" spans="1:15" x14ac:dyDescent="0.2">
      <c r="A12" s="42" t="s">
        <v>6</v>
      </c>
      <c r="B12" s="43">
        <f>-B6</f>
        <v>0</v>
      </c>
      <c r="C12" s="43">
        <f>-C6</f>
        <v>124611.68055555558</v>
      </c>
      <c r="D12" s="43">
        <f t="shared" ref="D12:L12" si="6">-D6</f>
        <v>124611.68055555558</v>
      </c>
      <c r="E12" s="43">
        <f t="shared" si="6"/>
        <v>720965.97995555575</v>
      </c>
      <c r="F12" s="43">
        <f t="shared" si="6"/>
        <v>720965.97995555575</v>
      </c>
      <c r="G12" s="43">
        <f t="shared" si="6"/>
        <v>2165995.1199522559</v>
      </c>
      <c r="H12" s="43">
        <f t="shared" si="6"/>
        <v>2165995.1199522559</v>
      </c>
      <c r="I12" s="43">
        <f t="shared" si="6"/>
        <v>2165995.1199522559</v>
      </c>
      <c r="J12" s="43">
        <f t="shared" si="6"/>
        <v>2165995.1199522559</v>
      </c>
      <c r="K12" s="43">
        <f t="shared" si="6"/>
        <v>2165995.1199522559</v>
      </c>
      <c r="L12" s="44">
        <f t="shared" si="6"/>
        <v>2165995.1199522559</v>
      </c>
      <c r="N12" s="22" t="s">
        <v>133</v>
      </c>
      <c r="O12" s="52">
        <v>0</v>
      </c>
    </row>
    <row r="13" spans="1:15" x14ac:dyDescent="0.2">
      <c r="A13" s="42" t="s">
        <v>117</v>
      </c>
      <c r="B13" s="43">
        <v>0</v>
      </c>
      <c r="C13" s="43">
        <f t="shared" ref="C13:L13" si="7">(B3-C3)*$O$3</f>
        <v>-900000</v>
      </c>
      <c r="D13" s="43">
        <f t="shared" si="7"/>
        <v>-270000</v>
      </c>
      <c r="E13" s="43">
        <f t="shared" si="7"/>
        <v>-819000</v>
      </c>
      <c r="F13" s="43">
        <f t="shared" si="7"/>
        <v>-397800</v>
      </c>
      <c r="G13" s="43">
        <f t="shared" si="7"/>
        <v>-1909440</v>
      </c>
      <c r="H13" s="43">
        <f t="shared" si="7"/>
        <v>-2148120</v>
      </c>
      <c r="I13" s="43">
        <f t="shared" si="7"/>
        <v>-1933308</v>
      </c>
      <c r="J13" s="43">
        <f t="shared" si="7"/>
        <v>-837766.80000000109</v>
      </c>
      <c r="K13" s="43">
        <f t="shared" si="7"/>
        <v>-460771.74000000022</v>
      </c>
      <c r="L13" s="44">
        <f t="shared" si="7"/>
        <v>-96762.065399999541</v>
      </c>
      <c r="N13" s="22" t="s">
        <v>134</v>
      </c>
      <c r="O13" s="51">
        <v>0</v>
      </c>
    </row>
    <row r="14" spans="1:15" ht="13.5" thickBot="1" x14ac:dyDescent="0.25">
      <c r="A14" s="46" t="s">
        <v>135</v>
      </c>
      <c r="B14" s="47">
        <f>-CONSOLIDAÇÃO!B10</f>
        <v>-623058.40277777787</v>
      </c>
      <c r="C14" s="47">
        <f>-CONSOLIDAÇÃO!C10</f>
        <v>-1508510.66</v>
      </c>
      <c r="D14" s="47">
        <f>-CONSOLIDAÇÃO!D10</f>
        <v>-2981771.4970000004</v>
      </c>
      <c r="E14" s="47">
        <f>-CONSOLIDAÇÃO!E10</f>
        <v>-3046507.3395500001</v>
      </c>
      <c r="F14" s="47">
        <f>-CONSOLIDAÇÃO!F10</f>
        <v>-7225145.6999834999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8">
        <v>0</v>
      </c>
    </row>
    <row r="15" spans="1:15" ht="13.5" thickBot="1" x14ac:dyDescent="0.25">
      <c r="A15" s="53" t="s">
        <v>136</v>
      </c>
      <c r="B15" s="54">
        <f>SUM(B11:B14)</f>
        <v>-623058.40277777787</v>
      </c>
      <c r="C15" s="54">
        <f>SUM(C11:C14)</f>
        <v>-1008705.8648611112</v>
      </c>
      <c r="D15" s="54">
        <f t="shared" ref="D15:L15" si="8">SUM(D11:D14)</f>
        <v>-1864429.8768611115</v>
      </c>
      <c r="E15" s="54">
        <f t="shared" si="8"/>
        <v>-1651899.4295611116</v>
      </c>
      <c r="F15" s="54">
        <f t="shared" si="8"/>
        <v>-4655956.8177446108</v>
      </c>
      <c r="G15" s="54">
        <f t="shared" si="8"/>
        <v>2512487.2365205642</v>
      </c>
      <c r="H15" s="54">
        <f t="shared" si="8"/>
        <v>6805649.8136939388</v>
      </c>
      <c r="I15" s="54">
        <f t="shared" si="8"/>
        <v>10887077.813693939</v>
      </c>
      <c r="J15" s="54">
        <f t="shared" si="8"/>
        <v>13658152.613693941</v>
      </c>
      <c r="K15" s="54">
        <f t="shared" si="8"/>
        <v>14956691.153693944</v>
      </c>
      <c r="L15" s="55">
        <f t="shared" si="8"/>
        <v>15514224.959093941</v>
      </c>
    </row>
    <row r="16" spans="1:15" x14ac:dyDescent="0.2">
      <c r="E16" s="18"/>
    </row>
    <row r="17" spans="1:12" ht="13.5" thickBot="1" x14ac:dyDescent="0.25"/>
    <row r="18" spans="1:12" ht="15.75" thickBot="1" x14ac:dyDescent="0.3">
      <c r="A18" s="34" t="s">
        <v>137</v>
      </c>
      <c r="B18" s="29">
        <f>IRR(B15:L15)</f>
        <v>0.43007002147314077</v>
      </c>
      <c r="C18" s="71" t="s">
        <v>138</v>
      </c>
      <c r="D18" s="71"/>
      <c r="E18" s="71"/>
      <c r="F18" s="71"/>
      <c r="G18" s="71"/>
    </row>
    <row r="19" spans="1:12" ht="15.75" thickBot="1" x14ac:dyDescent="0.3">
      <c r="A19" s="34" t="s">
        <v>139</v>
      </c>
      <c r="B19" s="30">
        <f>NPV(O4,C15:L15)+B15</f>
        <v>21882169.761567757</v>
      </c>
      <c r="C19" s="72" t="s">
        <v>140</v>
      </c>
      <c r="D19" s="72"/>
      <c r="E19" s="72"/>
      <c r="F19" s="72"/>
      <c r="G19" s="72"/>
    </row>
    <row r="20" spans="1:12" ht="15.75" thickBot="1" x14ac:dyDescent="0.3">
      <c r="A20" s="53" t="s">
        <v>141</v>
      </c>
      <c r="B20" s="30">
        <f>B19-B15</f>
        <v>22505228.164345533</v>
      </c>
    </row>
    <row r="21" spans="1:12" ht="18" thickBot="1" x14ac:dyDescent="0.45">
      <c r="A21" s="71" t="s">
        <v>142</v>
      </c>
      <c r="B21" s="71"/>
      <c r="C21" s="71"/>
      <c r="D21" s="71"/>
      <c r="E21" s="31">
        <f>A28-(B29/C29)</f>
        <v>6.0713985225354223</v>
      </c>
      <c r="G21" s="71" t="s">
        <v>143</v>
      </c>
      <c r="H21" s="71"/>
      <c r="I21" s="71"/>
      <c r="J21" s="71"/>
      <c r="K21" s="71"/>
      <c r="L21" s="32">
        <f>G28-(H29/J29)</f>
        <v>6.5551044674444094</v>
      </c>
    </row>
    <row r="22" spans="1:12" x14ac:dyDescent="0.2">
      <c r="A22" s="56" t="s">
        <v>144</v>
      </c>
      <c r="B22" s="56" t="s">
        <v>145</v>
      </c>
      <c r="C22" s="56" t="s">
        <v>146</v>
      </c>
      <c r="D22" s="56" t="s">
        <v>147</v>
      </c>
      <c r="G22" s="56" t="s">
        <v>144</v>
      </c>
      <c r="H22" s="56" t="s">
        <v>145</v>
      </c>
      <c r="I22" s="56" t="s">
        <v>146</v>
      </c>
      <c r="J22" s="56" t="s">
        <v>148</v>
      </c>
      <c r="K22" s="56" t="s">
        <v>147</v>
      </c>
    </row>
    <row r="23" spans="1:12" x14ac:dyDescent="0.2">
      <c r="A23" s="56">
        <v>0</v>
      </c>
      <c r="B23" s="57">
        <v>0</v>
      </c>
      <c r="C23" s="57">
        <f>B15</f>
        <v>-623058.40277777787</v>
      </c>
      <c r="D23" s="57">
        <f>SUM(B23:C23)</f>
        <v>-623058.40277777787</v>
      </c>
      <c r="G23" s="56">
        <v>0</v>
      </c>
      <c r="H23" s="56">
        <v>0</v>
      </c>
      <c r="I23" s="58">
        <f>B15</f>
        <v>-623058.40277777787</v>
      </c>
      <c r="J23" s="58">
        <f>I23</f>
        <v>-623058.40277777787</v>
      </c>
      <c r="K23" s="58">
        <f>J23+H23</f>
        <v>-623058.40277777787</v>
      </c>
    </row>
    <row r="24" spans="1:12" x14ac:dyDescent="0.2">
      <c r="A24" s="59">
        <v>1</v>
      </c>
      <c r="B24" s="60">
        <f t="shared" ref="B24:B33" si="9">D23</f>
        <v>-623058.40277777787</v>
      </c>
      <c r="C24" s="60">
        <f>C15</f>
        <v>-1008705.8648611112</v>
      </c>
      <c r="D24" s="60">
        <f t="shared" ref="D24:D33" si="10">SUM(B24:C24)</f>
        <v>-1631764.2676388891</v>
      </c>
      <c r="G24" s="56">
        <v>1</v>
      </c>
      <c r="H24" s="61">
        <f>K23</f>
        <v>-623058.40277777787</v>
      </c>
      <c r="I24" s="61">
        <f>C15</f>
        <v>-1008705.8648611112</v>
      </c>
      <c r="J24" s="62">
        <f>PV($O$4,G24,,-I24,0)</f>
        <v>-915731.6322398039</v>
      </c>
      <c r="K24" s="61">
        <f t="shared" ref="K24:K33" si="11">J24+H24</f>
        <v>-1538790.0350175817</v>
      </c>
    </row>
    <row r="25" spans="1:12" x14ac:dyDescent="0.2">
      <c r="A25" s="56">
        <v>2</v>
      </c>
      <c r="B25" s="57">
        <f t="shared" si="9"/>
        <v>-1631764.2676388891</v>
      </c>
      <c r="C25" s="57">
        <f>D15</f>
        <v>-1864429.8768611115</v>
      </c>
      <c r="D25" s="57">
        <f t="shared" si="10"/>
        <v>-3496194.1445000004</v>
      </c>
      <c r="G25" s="56">
        <v>2</v>
      </c>
      <c r="H25" s="58">
        <f>K24</f>
        <v>-1538790.0350175817</v>
      </c>
      <c r="I25" s="58">
        <f>D15</f>
        <v>-1864429.8768611115</v>
      </c>
      <c r="J25" s="63">
        <f t="shared" ref="J25:J33" si="12">PV($O$4,G25,,-I25,0)</f>
        <v>-1536573.6965563116</v>
      </c>
      <c r="K25" s="58">
        <f t="shared" si="11"/>
        <v>-3075363.7315738932</v>
      </c>
    </row>
    <row r="26" spans="1:12" x14ac:dyDescent="0.2">
      <c r="A26" s="56">
        <v>3</v>
      </c>
      <c r="B26" s="57">
        <f t="shared" si="9"/>
        <v>-3496194.1445000004</v>
      </c>
      <c r="C26" s="57">
        <f>E15</f>
        <v>-1651899.4295611116</v>
      </c>
      <c r="D26" s="57">
        <f t="shared" si="10"/>
        <v>-5148093.5740611125</v>
      </c>
      <c r="E26" s="56"/>
      <c r="F26" s="56"/>
      <c r="G26" s="56">
        <v>3</v>
      </c>
      <c r="H26" s="57">
        <f>K25</f>
        <v>-3075363.7315738932</v>
      </c>
      <c r="I26" s="56">
        <f>E15</f>
        <v>-1651899.4295611116</v>
      </c>
      <c r="J26" s="56">
        <f t="shared" si="12"/>
        <v>-1235932.1068877792</v>
      </c>
      <c r="K26" s="56">
        <f t="shared" si="11"/>
        <v>-4311295.8384616729</v>
      </c>
    </row>
    <row r="27" spans="1:12" x14ac:dyDescent="0.2">
      <c r="A27" s="56">
        <v>4</v>
      </c>
      <c r="B27" s="57">
        <f t="shared" si="9"/>
        <v>-5148093.5740611125</v>
      </c>
      <c r="C27" s="57">
        <f>F15</f>
        <v>-4655956.8177446108</v>
      </c>
      <c r="D27" s="57">
        <f t="shared" si="10"/>
        <v>-9804050.3918057233</v>
      </c>
      <c r="E27" s="56"/>
      <c r="F27" s="56"/>
      <c r="G27" s="56">
        <v>4</v>
      </c>
      <c r="H27" s="57">
        <f>K26</f>
        <v>-4311295.8384616729</v>
      </c>
      <c r="I27" s="58">
        <f>F15</f>
        <v>-4655956.8177446108</v>
      </c>
      <c r="J27" s="56">
        <f t="shared" si="12"/>
        <v>-3162449.690984094</v>
      </c>
      <c r="K27" s="56">
        <f t="shared" si="11"/>
        <v>-7473745.5294457674</v>
      </c>
    </row>
    <row r="28" spans="1:12" x14ac:dyDescent="0.2">
      <c r="A28" s="56">
        <v>5</v>
      </c>
      <c r="B28" s="57">
        <f t="shared" si="9"/>
        <v>-9804050.3918057233</v>
      </c>
      <c r="C28" s="58">
        <f>G15</f>
        <v>2512487.2365205642</v>
      </c>
      <c r="D28" s="57">
        <f t="shared" si="10"/>
        <v>-7291563.1552851591</v>
      </c>
      <c r="G28" s="56">
        <v>5</v>
      </c>
      <c r="H28" s="57">
        <f>K27</f>
        <v>-7473745.5294457674</v>
      </c>
      <c r="I28" s="58">
        <f>G15</f>
        <v>2512487.2365205642</v>
      </c>
      <c r="J28" s="56">
        <f t="shared" si="12"/>
        <v>1549252.5378816864</v>
      </c>
      <c r="K28" s="58">
        <f t="shared" si="11"/>
        <v>-5924492.9915640811</v>
      </c>
    </row>
    <row r="29" spans="1:12" x14ac:dyDescent="0.2">
      <c r="A29" s="56">
        <v>6</v>
      </c>
      <c r="B29" s="57">
        <f t="shared" si="9"/>
        <v>-7291563.1552851591</v>
      </c>
      <c r="C29" s="58">
        <f>H15</f>
        <v>6805649.8136939388</v>
      </c>
      <c r="D29" s="57">
        <f t="shared" si="10"/>
        <v>-485913.34159122035</v>
      </c>
      <c r="G29" s="56">
        <v>6</v>
      </c>
      <c r="H29" s="61">
        <f t="shared" ref="H29:H33" si="13">K28</f>
        <v>-5924492.9915640811</v>
      </c>
      <c r="I29" s="58">
        <f>H15</f>
        <v>6805649.8136939388</v>
      </c>
      <c r="J29" s="56">
        <f t="shared" si="12"/>
        <v>3809707.3962498051</v>
      </c>
      <c r="K29" s="58">
        <f t="shared" si="11"/>
        <v>-2114785.5953142759</v>
      </c>
    </row>
    <row r="30" spans="1:12" x14ac:dyDescent="0.2">
      <c r="A30" s="56">
        <v>7</v>
      </c>
      <c r="B30" s="57">
        <f t="shared" si="9"/>
        <v>-485913.34159122035</v>
      </c>
      <c r="C30" s="58">
        <f>I15</f>
        <v>10887077.813693939</v>
      </c>
      <c r="D30" s="57">
        <f t="shared" si="10"/>
        <v>10401164.472102718</v>
      </c>
      <c r="G30" s="56">
        <v>7</v>
      </c>
      <c r="H30" s="58">
        <f t="shared" si="13"/>
        <v>-2114785.5953142759</v>
      </c>
      <c r="I30" s="58">
        <f>I15</f>
        <v>10887077.813693939</v>
      </c>
      <c r="J30" s="56">
        <f t="shared" si="12"/>
        <v>5532698.6976919845</v>
      </c>
      <c r="K30" s="58">
        <f t="shared" si="11"/>
        <v>3417913.1023777085</v>
      </c>
    </row>
    <row r="31" spans="1:12" x14ac:dyDescent="0.2">
      <c r="A31" s="56">
        <v>8</v>
      </c>
      <c r="B31" s="57">
        <f t="shared" si="9"/>
        <v>10401164.472102718</v>
      </c>
      <c r="C31" s="58">
        <f>J15</f>
        <v>13658152.613693941</v>
      </c>
      <c r="D31" s="57">
        <f t="shared" si="10"/>
        <v>24059317.085796662</v>
      </c>
      <c r="G31" s="56">
        <v>8</v>
      </c>
      <c r="H31" s="57">
        <f t="shared" si="13"/>
        <v>3417913.1023777085</v>
      </c>
      <c r="I31" s="58">
        <f>J15</f>
        <v>13658152.613693941</v>
      </c>
      <c r="J31" s="56">
        <f t="shared" si="12"/>
        <v>6301171.8535517547</v>
      </c>
      <c r="K31" s="58">
        <f t="shared" si="11"/>
        <v>9719084.9559294637</v>
      </c>
    </row>
    <row r="32" spans="1:12" x14ac:dyDescent="0.2">
      <c r="A32" s="56">
        <v>9</v>
      </c>
      <c r="B32" s="57">
        <f t="shared" si="9"/>
        <v>24059317.085796662</v>
      </c>
      <c r="C32" s="58">
        <f>K15</f>
        <v>14956691.153693944</v>
      </c>
      <c r="D32" s="57">
        <f t="shared" si="10"/>
        <v>39016008.239490606</v>
      </c>
      <c r="G32" s="56">
        <v>9</v>
      </c>
      <c r="H32" s="57">
        <f t="shared" si="13"/>
        <v>9719084.9559294637</v>
      </c>
      <c r="I32" s="58">
        <f>K15</f>
        <v>14956691.153693944</v>
      </c>
      <c r="J32" s="56">
        <f t="shared" si="12"/>
        <v>6264242.4686805345</v>
      </c>
      <c r="K32" s="58">
        <f t="shared" si="11"/>
        <v>15983327.424609998</v>
      </c>
    </row>
    <row r="33" spans="1:12" x14ac:dyDescent="0.2">
      <c r="A33" s="56">
        <v>10</v>
      </c>
      <c r="B33" s="57">
        <f t="shared" si="9"/>
        <v>39016008.239490606</v>
      </c>
      <c r="C33" s="58">
        <f>L15</f>
        <v>15514224.959093941</v>
      </c>
      <c r="D33" s="57">
        <f t="shared" si="10"/>
        <v>54530233.198584549</v>
      </c>
      <c r="G33" s="56">
        <v>10</v>
      </c>
      <c r="H33" s="57">
        <f t="shared" si="13"/>
        <v>15983327.424609998</v>
      </c>
      <c r="I33" s="58">
        <f>L15</f>
        <v>15514224.959093941</v>
      </c>
      <c r="J33" s="56">
        <f t="shared" si="12"/>
        <v>5898842.3369577564</v>
      </c>
      <c r="K33" s="58">
        <f t="shared" si="11"/>
        <v>21882169.761567757</v>
      </c>
    </row>
    <row r="35" spans="1:12" x14ac:dyDescent="0.2">
      <c r="C35" s="4">
        <v>2.4</v>
      </c>
    </row>
    <row r="36" spans="1:12" ht="13.5" thickBot="1" x14ac:dyDescent="0.25"/>
    <row r="37" spans="1:12" ht="13.5" thickBot="1" x14ac:dyDescent="0.25">
      <c r="A37" s="68" t="s">
        <v>102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12" ht="13.5" thickBot="1" x14ac:dyDescent="0.25">
      <c r="A38" s="34"/>
      <c r="B38" s="35"/>
      <c r="C38" s="35" t="s">
        <v>152</v>
      </c>
      <c r="D38" s="65" t="s">
        <v>153</v>
      </c>
      <c r="E38" s="65" t="s">
        <v>154</v>
      </c>
      <c r="F38" s="65" t="s">
        <v>155</v>
      </c>
      <c r="G38" s="65" t="s">
        <v>156</v>
      </c>
      <c r="H38" s="65" t="s">
        <v>157</v>
      </c>
      <c r="I38" s="35" t="s">
        <v>111</v>
      </c>
      <c r="J38" s="35" t="s">
        <v>112</v>
      </c>
      <c r="K38" s="35" t="s">
        <v>113</v>
      </c>
      <c r="L38" s="36" t="s">
        <v>114</v>
      </c>
    </row>
    <row r="39" spans="1:12" ht="13.5" thickBot="1" x14ac:dyDescent="0.25">
      <c r="A39" s="39" t="s">
        <v>158</v>
      </c>
      <c r="B39" s="40"/>
      <c r="C39" s="40">
        <f>(C3/1000000)/C35</f>
        <v>1.25</v>
      </c>
      <c r="D39" s="40">
        <f>(D3/1000000)/C35</f>
        <v>1.625</v>
      </c>
      <c r="E39" s="40">
        <f>(E3/1000000)/C35</f>
        <v>2.7625000000000002</v>
      </c>
      <c r="F39" s="40">
        <f>(F3/1000000)/C35</f>
        <v>3.3150000000000004</v>
      </c>
      <c r="G39" s="40">
        <f>(G3/1000000)/C35</f>
        <v>5.9670000000000005</v>
      </c>
      <c r="H39" s="40">
        <f>(H3/1000000)/C35</f>
        <v>8.9505000000000017</v>
      </c>
      <c r="I39" s="40">
        <f t="shared" ref="D39:L39" si="14">I3/1000000</f>
        <v>27.925560000000001</v>
      </c>
      <c r="J39" s="40">
        <f t="shared" si="14"/>
        <v>30.718116000000002</v>
      </c>
      <c r="K39" s="40">
        <f t="shared" si="14"/>
        <v>32.254021800000004</v>
      </c>
      <c r="L39" s="40">
        <f t="shared" si="14"/>
        <v>32.576562018000004</v>
      </c>
    </row>
    <row r="40" spans="1:12" ht="13.5" thickBot="1" x14ac:dyDescent="0.25">
      <c r="A40" s="39" t="str">
        <f t="shared" ref="A40" si="15">A4</f>
        <v>Custos Fixos</v>
      </c>
      <c r="B40" s="40"/>
      <c r="C40" s="40">
        <f>(C4/1000000)/C35</f>
        <v>-0.23963784722222226</v>
      </c>
      <c r="D40" s="40">
        <f>(D4/1000000)/C35</f>
        <v>-0.5465618333333333</v>
      </c>
      <c r="E40" s="40">
        <f>(E4/1000000)/C35</f>
        <v>-1.0803519916666668</v>
      </c>
      <c r="F40" s="40">
        <f>(F4/1000000)/C35</f>
        <v>-1.1038070070833337</v>
      </c>
      <c r="G40" s="40">
        <f>(G4/1000000)/C35</f>
        <v>-2.6178064130375001</v>
      </c>
      <c r="H40" s="40">
        <f>(H4/1000000)/C35</f>
        <v>-2.4869160923856248</v>
      </c>
      <c r="I40" s="40">
        <f t="shared" ref="C40:L40" si="16">I4/1000000</f>
        <v>-5.9685986217254996</v>
      </c>
      <c r="J40" s="40">
        <f t="shared" si="16"/>
        <v>-5.9685986217254996</v>
      </c>
      <c r="K40" s="40">
        <f t="shared" si="16"/>
        <v>-5.9685986217254996</v>
      </c>
      <c r="L40" s="40">
        <f t="shared" si="16"/>
        <v>-5.9685986217254996</v>
      </c>
    </row>
    <row r="41" spans="1:12" ht="13.5" thickBot="1" x14ac:dyDescent="0.25">
      <c r="A41" s="39" t="str">
        <f t="shared" ref="A41" si="17">A5</f>
        <v>Custos Variáveis</v>
      </c>
      <c r="B41" s="40"/>
      <c r="C41" s="40">
        <f>(C5/1000000)/C35</f>
        <v>-0.25</v>
      </c>
      <c r="D41" s="40">
        <f>(D5/1000000)/C35</f>
        <v>-0.32500000000000001</v>
      </c>
      <c r="E41" s="40">
        <f>(E5/1000000)/C35</f>
        <v>-0.5525000000000001</v>
      </c>
      <c r="F41" s="40">
        <f>(F5/1000000)/C35</f>
        <v>-0.66300000000000003</v>
      </c>
      <c r="G41" s="40">
        <f>(G5/1000000)/C35</f>
        <v>-1.1934</v>
      </c>
      <c r="H41" s="40">
        <f>(H5/1000000)/C35</f>
        <v>-1.7901</v>
      </c>
      <c r="I41" s="40">
        <f t="shared" ref="C41:L41" si="18">I5/1000000</f>
        <v>-5.5851119999999996</v>
      </c>
      <c r="J41" s="40">
        <f t="shared" si="18"/>
        <v>-6.1436232000000013</v>
      </c>
      <c r="K41" s="40">
        <f t="shared" si="18"/>
        <v>-6.4508043600000011</v>
      </c>
      <c r="L41" s="40">
        <f t="shared" si="18"/>
        <v>-6.5153124036000012</v>
      </c>
    </row>
    <row r="42" spans="1:12" x14ac:dyDescent="0.2">
      <c r="A42" s="4" t="s">
        <v>151</v>
      </c>
      <c r="B42" s="18"/>
      <c r="C42" s="40">
        <f>SUM(C39:C41)</f>
        <v>0.76036215277777774</v>
      </c>
      <c r="D42" s="40">
        <f t="shared" ref="D42:L42" si="19">SUM(D39:D41)</f>
        <v>0.75343816666666674</v>
      </c>
      <c r="E42" s="40">
        <f t="shared" si="19"/>
        <v>1.1296480083333331</v>
      </c>
      <c r="F42" s="40">
        <f t="shared" si="19"/>
        <v>1.5481929929166667</v>
      </c>
      <c r="G42" s="40">
        <f t="shared" si="19"/>
        <v>2.1557935869625005</v>
      </c>
      <c r="H42" s="40">
        <f t="shared" si="19"/>
        <v>4.6734839076143766</v>
      </c>
      <c r="I42" s="40">
        <f t="shared" si="19"/>
        <v>16.371849378274501</v>
      </c>
      <c r="J42" s="40">
        <f t="shared" si="19"/>
        <v>18.605894178274504</v>
      </c>
      <c r="K42" s="40">
        <f t="shared" si="19"/>
        <v>19.834618818274507</v>
      </c>
      <c r="L42" s="40">
        <f t="shared" si="19"/>
        <v>20.092650992674507</v>
      </c>
    </row>
  </sheetData>
  <mergeCells count="6">
    <mergeCell ref="A37:L37"/>
    <mergeCell ref="A1:L1"/>
    <mergeCell ref="C18:G18"/>
    <mergeCell ref="C19:G19"/>
    <mergeCell ref="A21:D21"/>
    <mergeCell ref="G21:K2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RH - Mensal x ANO</vt:lpstr>
      <vt:lpstr>ST - Mensal x ANO</vt:lpstr>
      <vt:lpstr>DESP. OPERACIONAIS</vt:lpstr>
      <vt:lpstr>INFRAESTRUTURA</vt:lpstr>
      <vt:lpstr>CONSOLIDAÇÃO</vt:lpstr>
      <vt:lpstr>Fluxo de Caixa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Elton</cp:lastModifiedBy>
  <dcterms:created xsi:type="dcterms:W3CDTF">2010-06-21T07:17:39Z</dcterms:created>
  <dcterms:modified xsi:type="dcterms:W3CDTF">2013-10-25T21:16:21Z</dcterms:modified>
</cp:coreProperties>
</file>